
<file path=[Content_Types].xml><?xml version="1.0" encoding="utf-8"?>
<Types xmlns="http://schemas.openxmlformats.org/package/2006/content-types">
  <Default Extension="png" ContentType="image/png"/>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xl/tables/table10.xml" ContentType="application/vnd.openxmlformats-officedocument.spreadsheetml.table+xml"/>
  <Override PartName="/xl/tables/table11.xml" ContentType="application/vnd.openxmlformats-officedocument.spreadsheetml.table+xml"/>
  <Override PartName="/xl/tables/table12.xml" ContentType="application/vnd.openxmlformats-officedocument.spreadsheetml.table+xml"/>
  <Override PartName="/xl/tables/table13.xml" ContentType="application/vnd.openxmlformats-officedocument.spreadsheetml.table+xml"/>
  <Override PartName="/xl/tables/table14.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64011"/>
  <mc:AlternateContent xmlns:mc="http://schemas.openxmlformats.org/markup-compatibility/2006">
    <mc:Choice Requires="x15">
      <x15ac:absPath xmlns:x15ac="http://schemas.microsoft.com/office/spreadsheetml/2010/11/ac" url="C:\Users\user\Documents\ARU - Thesis\Paper 5\"/>
    </mc:Choice>
  </mc:AlternateContent>
  <workbookProtection lockStructure="1"/>
  <bookViews>
    <workbookView xWindow="0" yWindow="0" windowWidth="19200" windowHeight="7050" tabRatio="741"/>
  </bookViews>
  <sheets>
    <sheet name="Title Page" sheetId="29" r:id="rId1"/>
    <sheet name="Expected Properties" sheetId="31" r:id="rId2"/>
    <sheet name="Index of Suitability (IS)" sheetId="1" r:id="rId3"/>
    <sheet name="A" sheetId="2" r:id="rId4"/>
    <sheet name="B" sheetId="16" r:id="rId5"/>
    <sheet name="C" sheetId="17" r:id="rId6"/>
    <sheet name="D" sheetId="18" r:id="rId7"/>
    <sheet name="E" sheetId="19" r:id="rId8"/>
    <sheet name="F" sheetId="20" r:id="rId9"/>
    <sheet name="G" sheetId="21" r:id="rId10"/>
    <sheet name="H" sheetId="22" r:id="rId11"/>
    <sheet name="I" sheetId="23" r:id="rId12"/>
    <sheet name="J" sheetId="24" r:id="rId13"/>
    <sheet name="K" sheetId="25" r:id="rId14"/>
    <sheet name="L" sheetId="26" r:id="rId15"/>
    <sheet name="M" sheetId="27" r:id="rId16"/>
    <sheet name="N" sheetId="28" r:id="rId17"/>
    <sheet name="References" sheetId="30" r:id="rId18"/>
  </sheets>
  <definedNames>
    <definedName name="Decision_problem_solution">Table12[Decision Problem Solution]</definedName>
    <definedName name="Degree_of_method_usage">Table9[Degree of using the method in area]</definedName>
    <definedName name="Easy_of_use">Table15[Ease of use]</definedName>
    <definedName name="Implementation_procedure">Table14[Implementation procedure]</definedName>
    <definedName name="Nature_of_indicator">Table4[Nature of Indicators’ values/]</definedName>
    <definedName name="Number_decision_maker">Table5[Number of decision-makers]</definedName>
    <definedName name="Output_typology">Table13[Output Typology]</definedName>
    <definedName name="Size_of_evaluation_elements">Table3[[#All],[Size of evaluation elements]]</definedName>
    <definedName name="Software_support">Table10[Software support]</definedName>
    <definedName name="Solution_Approach">Table16[Solution Approach]</definedName>
    <definedName name="Structure_of_criteria">Table11[Structure of criteria]</definedName>
    <definedName name="Technical_support">Table7[Technical Support]</definedName>
    <definedName name="Type_of_decision_making_problem">Table8[[#All],[Type of decision-making problem]]</definedName>
    <definedName name="Type_of_solution">Table6[Type of solution]</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I7" i="1" l="1"/>
  <c r="S7" i="1" l="1"/>
  <c r="S8" i="1"/>
  <c r="S9" i="1"/>
  <c r="S10" i="1"/>
  <c r="S11" i="1"/>
  <c r="S12" i="1"/>
  <c r="S13" i="1"/>
  <c r="S14" i="1"/>
  <c r="S15" i="1"/>
  <c r="S16" i="1"/>
  <c r="S17" i="1"/>
  <c r="S18" i="1"/>
  <c r="S19" i="1"/>
  <c r="S20" i="1"/>
  <c r="S21" i="1"/>
  <c r="S22" i="1"/>
  <c r="S23" i="1"/>
  <c r="S24" i="1"/>
  <c r="S25" i="1"/>
  <c r="S26" i="1"/>
  <c r="Q26" i="1" l="1"/>
  <c r="Q25" i="1"/>
  <c r="Q24" i="1"/>
  <c r="Q23" i="1"/>
  <c r="Q22" i="1"/>
  <c r="Q21" i="1"/>
  <c r="Q20" i="1"/>
  <c r="Q19" i="1"/>
  <c r="Q18" i="1"/>
  <c r="Q17" i="1"/>
  <c r="Q16" i="1"/>
  <c r="Q15" i="1"/>
  <c r="Q14" i="1"/>
  <c r="Q13" i="1"/>
  <c r="Q12" i="1"/>
  <c r="Q11" i="1"/>
  <c r="Q10" i="1"/>
  <c r="Q9" i="1"/>
  <c r="Q8" i="1"/>
  <c r="Q7" i="1"/>
  <c r="R21" i="1"/>
  <c r="R20" i="1"/>
  <c r="R19" i="1"/>
  <c r="R18" i="1"/>
  <c r="R17" i="1"/>
  <c r="R16" i="1"/>
  <c r="R22" i="1"/>
  <c r="R23" i="1"/>
  <c r="R26" i="1"/>
  <c r="R25" i="1"/>
  <c r="R24" i="1"/>
  <c r="R15" i="1"/>
  <c r="R14" i="1"/>
  <c r="R13" i="1"/>
  <c r="R12" i="1"/>
  <c r="R11" i="1"/>
  <c r="R10" i="1"/>
  <c r="R9" i="1"/>
  <c r="R8" i="1"/>
  <c r="P26" i="1"/>
  <c r="P25" i="1"/>
  <c r="P24" i="1"/>
  <c r="P23" i="1"/>
  <c r="P22" i="1"/>
  <c r="P21" i="1"/>
  <c r="P20" i="1"/>
  <c r="P19" i="1"/>
  <c r="P18" i="1"/>
  <c r="P17" i="1"/>
  <c r="P16" i="1"/>
  <c r="P15" i="1"/>
  <c r="P14" i="1"/>
  <c r="P13" i="1"/>
  <c r="P12" i="1"/>
  <c r="P11" i="1"/>
  <c r="P10" i="1"/>
  <c r="P9" i="1"/>
  <c r="P8" i="1"/>
  <c r="R7" i="1"/>
  <c r="P7" i="1"/>
  <c r="O23" i="1"/>
  <c r="O22" i="1"/>
  <c r="O24" i="1"/>
  <c r="O21" i="1"/>
  <c r="O20" i="1"/>
  <c r="O19" i="1"/>
  <c r="O18" i="1"/>
  <c r="O17" i="1"/>
  <c r="O16" i="1"/>
  <c r="O15" i="1"/>
  <c r="O26" i="1"/>
  <c r="O25" i="1"/>
  <c r="O14" i="1"/>
  <c r="O13" i="1"/>
  <c r="O12" i="1"/>
  <c r="O11" i="1"/>
  <c r="O10" i="1"/>
  <c r="O9" i="1"/>
  <c r="O8" i="1"/>
  <c r="O7" i="1"/>
  <c r="N26" i="1"/>
  <c r="N25" i="1"/>
  <c r="N24" i="1"/>
  <c r="N23" i="1"/>
  <c r="N22" i="1"/>
  <c r="N21" i="1"/>
  <c r="N20" i="1"/>
  <c r="N19" i="1"/>
  <c r="N18" i="1"/>
  <c r="N17" i="1"/>
  <c r="N16" i="1"/>
  <c r="N15" i="1"/>
  <c r="N14" i="1"/>
  <c r="N13" i="1"/>
  <c r="N12" i="1"/>
  <c r="N11" i="1"/>
  <c r="N10" i="1"/>
  <c r="N9" i="1"/>
  <c r="N8" i="1"/>
  <c r="N7" i="1"/>
  <c r="M26" i="1"/>
  <c r="M25" i="1"/>
  <c r="M24" i="1"/>
  <c r="M23" i="1"/>
  <c r="M22" i="1"/>
  <c r="M21" i="1"/>
  <c r="M20" i="1"/>
  <c r="M19" i="1"/>
  <c r="M18" i="1"/>
  <c r="M17" i="1"/>
  <c r="M16" i="1"/>
  <c r="M15" i="1"/>
  <c r="M14" i="1"/>
  <c r="M13" i="1"/>
  <c r="M12" i="1"/>
  <c r="M11" i="1"/>
  <c r="M10" i="1"/>
  <c r="M9" i="1"/>
  <c r="M8" i="1"/>
  <c r="M7" i="1"/>
  <c r="L26" i="1"/>
  <c r="L25" i="1"/>
  <c r="L24" i="1"/>
  <c r="L23" i="1"/>
  <c r="L22" i="1"/>
  <c r="L21" i="1"/>
  <c r="L20" i="1"/>
  <c r="L19" i="1"/>
  <c r="L18" i="1"/>
  <c r="L17" i="1"/>
  <c r="L16" i="1"/>
  <c r="L15" i="1"/>
  <c r="L14" i="1"/>
  <c r="L13" i="1"/>
  <c r="L12" i="1"/>
  <c r="L11" i="1"/>
  <c r="L10" i="1"/>
  <c r="L9" i="1"/>
  <c r="L8" i="1"/>
  <c r="L7" i="1"/>
  <c r="K26" i="1"/>
  <c r="K25" i="1"/>
  <c r="K24" i="1"/>
  <c r="K23" i="1"/>
  <c r="K22" i="1"/>
  <c r="K21" i="1"/>
  <c r="K20" i="1"/>
  <c r="K19" i="1"/>
  <c r="K18" i="1"/>
  <c r="K17" i="1"/>
  <c r="K16" i="1"/>
  <c r="K15" i="1"/>
  <c r="K14" i="1"/>
  <c r="K13" i="1"/>
  <c r="K12" i="1"/>
  <c r="K11" i="1"/>
  <c r="K10" i="1"/>
  <c r="K9" i="1"/>
  <c r="K8" i="1"/>
  <c r="K7" i="1"/>
  <c r="J26" i="1"/>
  <c r="J25" i="1"/>
  <c r="J24" i="1"/>
  <c r="J23" i="1"/>
  <c r="J22" i="1"/>
  <c r="J21" i="1"/>
  <c r="J20" i="1"/>
  <c r="J19" i="1"/>
  <c r="J18" i="1"/>
  <c r="J17" i="1"/>
  <c r="J16" i="1"/>
  <c r="J15" i="1"/>
  <c r="J14" i="1"/>
  <c r="J13" i="1"/>
  <c r="J12" i="1"/>
  <c r="J11" i="1"/>
  <c r="J10" i="1"/>
  <c r="J9" i="1"/>
  <c r="J8" i="1"/>
  <c r="J7" i="1"/>
  <c r="I26" i="1"/>
  <c r="I25" i="1"/>
  <c r="I24" i="1"/>
  <c r="I23" i="1"/>
  <c r="I22" i="1"/>
  <c r="I21" i="1"/>
  <c r="I20" i="1"/>
  <c r="I19" i="1"/>
  <c r="I18" i="1"/>
  <c r="I17" i="1"/>
  <c r="I16" i="1"/>
  <c r="I15" i="1"/>
  <c r="I14" i="1"/>
  <c r="I13" i="1"/>
  <c r="I12" i="1"/>
  <c r="I11" i="1"/>
  <c r="I10" i="1"/>
  <c r="I9" i="1"/>
  <c r="I8" i="1"/>
  <c r="H24" i="1"/>
  <c r="H23" i="1"/>
  <c r="H22" i="1"/>
  <c r="H21" i="1"/>
  <c r="H20" i="1"/>
  <c r="H19" i="1"/>
  <c r="H18" i="1"/>
  <c r="H17" i="1"/>
  <c r="H25" i="1"/>
  <c r="H26" i="1"/>
  <c r="H16" i="1"/>
  <c r="H15" i="1"/>
  <c r="H14" i="1"/>
  <c r="H13" i="1"/>
  <c r="H12" i="1"/>
  <c r="H11" i="1"/>
  <c r="H10" i="1"/>
  <c r="H9" i="1"/>
  <c r="H8" i="1"/>
  <c r="H7" i="1"/>
  <c r="G26" i="1"/>
  <c r="G25" i="1"/>
  <c r="G24" i="1"/>
  <c r="G23" i="1"/>
  <c r="G22" i="1"/>
  <c r="G21" i="1"/>
  <c r="G20" i="1"/>
  <c r="G19" i="1"/>
  <c r="G18" i="1"/>
  <c r="G17" i="1"/>
  <c r="G16" i="1"/>
  <c r="G15" i="1"/>
  <c r="G14" i="1"/>
  <c r="G13" i="1"/>
  <c r="G12" i="1"/>
  <c r="G11" i="1"/>
  <c r="G10" i="1"/>
  <c r="G9" i="1"/>
  <c r="G8" i="1"/>
  <c r="G7" i="1"/>
  <c r="F26" i="1"/>
  <c r="F25" i="1"/>
  <c r="F24" i="1"/>
  <c r="F23" i="1"/>
  <c r="F22" i="1"/>
  <c r="F21" i="1"/>
  <c r="F20" i="1"/>
  <c r="F19" i="1"/>
  <c r="F18" i="1"/>
  <c r="F17" i="1"/>
  <c r="F16" i="1"/>
  <c r="F15" i="1"/>
  <c r="F14" i="1"/>
  <c r="F13" i="1"/>
  <c r="F12" i="1"/>
  <c r="F40" i="1" s="1"/>
  <c r="F11" i="1"/>
  <c r="F10" i="1"/>
  <c r="F9" i="1"/>
  <c r="F37" i="1" s="1"/>
  <c r="F8" i="1"/>
  <c r="F7" i="1"/>
  <c r="F53" i="1" l="1"/>
  <c r="F45" i="1"/>
  <c r="F42" i="1"/>
  <c r="F50" i="1"/>
  <c r="F43" i="1"/>
  <c r="F51" i="1"/>
  <c r="F38" i="1"/>
  <c r="F39" i="1"/>
  <c r="F47" i="1"/>
  <c r="F35" i="1"/>
  <c r="F48" i="1"/>
  <c r="F41" i="1"/>
  <c r="F49" i="1"/>
  <c r="F36" i="1"/>
  <c r="F44" i="1"/>
  <c r="F52" i="1"/>
  <c r="F46" i="1"/>
  <c r="F54" i="1"/>
</calcChain>
</file>

<file path=xl/sharedStrings.xml><?xml version="1.0" encoding="utf-8"?>
<sst xmlns="http://schemas.openxmlformats.org/spreadsheetml/2006/main" count="790" uniqueCount="356">
  <si>
    <t>AHP</t>
  </si>
  <si>
    <t>ELECTRE</t>
  </si>
  <si>
    <t>PROMETHEE</t>
  </si>
  <si>
    <t>TOPSIS</t>
  </si>
  <si>
    <t>ANP</t>
  </si>
  <si>
    <t>VIKOR</t>
  </si>
  <si>
    <t>DEMATEL</t>
  </si>
  <si>
    <t>MULTIMOORA</t>
  </si>
  <si>
    <t>MOORA</t>
  </si>
  <si>
    <t>WASPAS</t>
  </si>
  <si>
    <t>COPRA</t>
  </si>
  <si>
    <t>DEA</t>
  </si>
  <si>
    <t>MAUT</t>
  </si>
  <si>
    <t>MAVT</t>
  </si>
  <si>
    <t>ASPID</t>
  </si>
  <si>
    <t>BWM</t>
  </si>
  <si>
    <t>EDAS</t>
  </si>
  <si>
    <t>ERA</t>
  </si>
  <si>
    <t>SMART</t>
  </si>
  <si>
    <t>WSM</t>
  </si>
  <si>
    <t>Size of evaluation elements</t>
  </si>
  <si>
    <t>Nature of Indicators’ values/</t>
  </si>
  <si>
    <t>Number of decision-makers</t>
  </si>
  <si>
    <t>Type of solution</t>
  </si>
  <si>
    <t>Technical Support</t>
  </si>
  <si>
    <t>Type of decision-making problem</t>
  </si>
  <si>
    <t>Solution Approach</t>
  </si>
  <si>
    <t>Ease of use</t>
  </si>
  <si>
    <t>Implementation Procedure</t>
  </si>
  <si>
    <t>Output Typology</t>
  </si>
  <si>
    <t>Decision Problem Solution</t>
  </si>
  <si>
    <t>Structure of criteria</t>
  </si>
  <si>
    <t>Software support</t>
  </si>
  <si>
    <t>Degree of using the method in area</t>
  </si>
  <si>
    <t>Small number of both criteria and alternatives</t>
  </si>
  <si>
    <t>Small number of criteria and large number of alternatives</t>
  </si>
  <si>
    <t>Large number of criteria and small number of alternatives</t>
  </si>
  <si>
    <t>Large number of both criteria and alternatives</t>
  </si>
  <si>
    <t>Qualitative</t>
  </si>
  <si>
    <t>Quantitative</t>
  </si>
  <si>
    <t>Mixed</t>
  </si>
  <si>
    <t>Single decision-maker</t>
  </si>
  <si>
    <t>Many decision-makers</t>
  </si>
  <si>
    <t>Possibility of easy extension to many decision-makers</t>
  </si>
  <si>
    <t>N/A</t>
  </si>
  <si>
    <t>Valid alternatives based on the objective</t>
  </si>
  <si>
    <t>The best alternative, based on the objective</t>
  </si>
  <si>
    <t>Alternative closest to the objective</t>
  </si>
  <si>
    <t>No (not necessary)</t>
  </si>
  <si>
    <t>Yes (necessary)</t>
  </si>
  <si>
    <t>Ranking/choice</t>
  </si>
  <si>
    <t>Sorting</t>
  </si>
  <si>
    <t>Description</t>
  </si>
  <si>
    <t>Portfolio</t>
  </si>
  <si>
    <t>Full aggregation approach</t>
  </si>
  <si>
    <t>Outranking approach</t>
  </si>
  <si>
    <t>Goal, aspiration or reference level approach</t>
  </si>
  <si>
    <t>Mixed (G1 and G3)</t>
  </si>
  <si>
    <t>Easy</t>
  </si>
  <si>
    <t>Moderate</t>
  </si>
  <si>
    <t>Hard</t>
  </si>
  <si>
    <t>I</t>
  </si>
  <si>
    <t>i1</t>
  </si>
  <si>
    <t>Pairwise comparisons on a ratio scale</t>
  </si>
  <si>
    <t>i2</t>
  </si>
  <si>
    <t>Pairwise comparisons on a ratio scale and cause effect relationship</t>
  </si>
  <si>
    <t>i3</t>
  </si>
  <si>
    <t>Pairwise comparisons on a ratio scale and interdependencies</t>
  </si>
  <si>
    <t>i4</t>
  </si>
  <si>
    <t>Indifference and preference thresholds</t>
  </si>
  <si>
    <t>i5</t>
  </si>
  <si>
    <t>Indifference, preference and veto thresholds</t>
  </si>
  <si>
    <t>i6</t>
  </si>
  <si>
    <t>Ideal and anti-ideal option</t>
  </si>
  <si>
    <t>i7</t>
  </si>
  <si>
    <t>Close to the idea</t>
  </si>
  <si>
    <t>i8</t>
  </si>
  <si>
    <t>No subjective inputs required</t>
  </si>
  <si>
    <t>i9</t>
  </si>
  <si>
    <t>Utility function</t>
  </si>
  <si>
    <t>i10</t>
  </si>
  <si>
    <t>Value function</t>
  </si>
  <si>
    <t>i11</t>
  </si>
  <si>
    <t>Best and worst option</t>
  </si>
  <si>
    <t>i12</t>
  </si>
  <si>
    <t>Positive and negative distance from average</t>
  </si>
  <si>
    <t>i13</t>
  </si>
  <si>
    <t>Mathematically determined weighting factors given in a form of equality or inequality</t>
  </si>
  <si>
    <t>i14</t>
  </si>
  <si>
    <t>Structured Pairwise comparison</t>
  </si>
  <si>
    <t>J</t>
  </si>
  <si>
    <t>j1</t>
  </si>
  <si>
    <t>Partial order obtained by expressing pairwise preferences degrees</t>
  </si>
  <si>
    <t>j2</t>
  </si>
  <si>
    <t>Total order obtained by expressing pairwise preferences degrees</t>
  </si>
  <si>
    <t>j3</t>
  </si>
  <si>
    <t>Full order obtained by considering the scores</t>
  </si>
  <si>
    <t>j4</t>
  </si>
  <si>
    <t>Full order with score closest to the aim assumed.</t>
  </si>
  <si>
    <t>j5</t>
  </si>
  <si>
    <t>Partial order (rank) with effectiveness score</t>
  </si>
  <si>
    <t>j6</t>
  </si>
  <si>
    <t>Full order by considering index</t>
  </si>
  <si>
    <t>N categories of alternatives of equal score but different behavior</t>
  </si>
  <si>
    <t>Alternative with the higher global score:</t>
  </si>
  <si>
    <t>Alternative with the closest score to the ideal solution</t>
  </si>
  <si>
    <t>Hierarchy</t>
  </si>
  <si>
    <t>Network</t>
  </si>
  <si>
    <t>None/Flat</t>
  </si>
  <si>
    <t>No</t>
  </si>
  <si>
    <t>Yes</t>
  </si>
  <si>
    <t>Low</t>
  </si>
  <si>
    <t>High</t>
  </si>
  <si>
    <t>Methods</t>
  </si>
  <si>
    <t>a1</t>
  </si>
  <si>
    <t>a2</t>
  </si>
  <si>
    <t>a3</t>
  </si>
  <si>
    <t>a4</t>
  </si>
  <si>
    <t>ID</t>
  </si>
  <si>
    <t>b1</t>
  </si>
  <si>
    <t>b2</t>
  </si>
  <si>
    <t>b3</t>
  </si>
  <si>
    <t>c1</t>
  </si>
  <si>
    <t>c2</t>
  </si>
  <si>
    <t>c3</t>
  </si>
  <si>
    <t>d1</t>
  </si>
  <si>
    <t>d2</t>
  </si>
  <si>
    <t>d3</t>
  </si>
  <si>
    <t>e1</t>
  </si>
  <si>
    <t>e2</t>
  </si>
  <si>
    <t>f1</t>
  </si>
  <si>
    <t>f2</t>
  </si>
  <si>
    <t>f3</t>
  </si>
  <si>
    <t>f4</t>
  </si>
  <si>
    <t>g1</t>
  </si>
  <si>
    <t>g2</t>
  </si>
  <si>
    <t>g3</t>
  </si>
  <si>
    <t>g4</t>
  </si>
  <si>
    <t>h1</t>
  </si>
  <si>
    <t>h2</t>
  </si>
  <si>
    <t>h3</t>
  </si>
  <si>
    <t>k1</t>
  </si>
  <si>
    <t>k2</t>
  </si>
  <si>
    <t>k3</t>
  </si>
  <si>
    <t>l1</t>
  </si>
  <si>
    <t>l2</t>
  </si>
  <si>
    <t>l3</t>
  </si>
  <si>
    <t>m1</t>
  </si>
  <si>
    <t>m2</t>
  </si>
  <si>
    <t>n1</t>
  </si>
  <si>
    <t>n2</t>
  </si>
  <si>
    <t>n3</t>
  </si>
  <si>
    <t>Nature of Indicators’ values</t>
  </si>
  <si>
    <t>Implementation procedure</t>
  </si>
  <si>
    <t>A</t>
  </si>
  <si>
    <t>B</t>
  </si>
  <si>
    <t>C</t>
  </si>
  <si>
    <t>D</t>
  </si>
  <si>
    <t>E</t>
  </si>
  <si>
    <t>F</t>
  </si>
  <si>
    <t>H</t>
  </si>
  <si>
    <t>G</t>
  </si>
  <si>
    <t>K</t>
  </si>
  <si>
    <t>L</t>
  </si>
  <si>
    <t>M</t>
  </si>
  <si>
    <t>Released date</t>
  </si>
  <si>
    <t>Organisation:</t>
  </si>
  <si>
    <t>Ardhi University</t>
  </si>
  <si>
    <t>School of Architecture, and Construction Economics and Management</t>
  </si>
  <si>
    <t>P. O. Box 35176</t>
  </si>
  <si>
    <t>Observation Hill</t>
  </si>
  <si>
    <t>Plot No 3, Block L</t>
  </si>
  <si>
    <t>University Road</t>
  </si>
  <si>
    <t>https://www.aru.ac.tz/</t>
  </si>
  <si>
    <t>Authors</t>
  </si>
  <si>
    <t>Position</t>
  </si>
  <si>
    <t>Contact Details</t>
  </si>
  <si>
    <t>Olaoluwa Paul Aasa</t>
  </si>
  <si>
    <t>PhD Candidate</t>
  </si>
  <si>
    <t>Dr Sarah Phoya</t>
  </si>
  <si>
    <t>Senior Lecturer in Quantity Surveying</t>
  </si>
  <si>
    <t>Dr Rehema J. Monko</t>
  </si>
  <si>
    <t>Prof. Innocent Musonda</t>
  </si>
  <si>
    <t>Professor and Director of the Centre for Applied Research and Innovation in the Built Environment (CARINBE)</t>
  </si>
  <si>
    <t>olaoluwa.aasa@arunet.ac.tz; olaoluwa88@gmail.com</t>
  </si>
  <si>
    <t>School of Architecture, Construction Economics and Management</t>
  </si>
  <si>
    <t>Africa Sustainable Infrastructure Mobility</t>
  </si>
  <si>
    <t>University of Johannesburg</t>
  </si>
  <si>
    <t>https://www.asim.uj.ac.za/</t>
  </si>
  <si>
    <t>sarah.phoya@aru.ac.tz</t>
  </si>
  <si>
    <t>rehema.monko@aru.ac.tz</t>
  </si>
  <si>
    <t>imusonda@uj.ac.za</t>
  </si>
  <si>
    <t>References</t>
  </si>
  <si>
    <t>Technique for Order Preference by Similarity to Ideal Solutions</t>
  </si>
  <si>
    <t>Multi-Attribute Value Theory</t>
  </si>
  <si>
    <t>Analytic Hierarchy Process</t>
  </si>
  <si>
    <t>Preference Ranking Organization Method for. Enrichment Evaluations</t>
  </si>
  <si>
    <t>Best Worst Method</t>
  </si>
  <si>
    <t>VIseKriterijumska Optimizacija I kompromisno Resenje (from Serbian, MUltiCriteria Optimization and compromise Solution)</t>
  </si>
  <si>
    <t>Weighted Aggregated Sum Product Assessment</t>
  </si>
  <si>
    <t>Data Envelopment Analysis</t>
  </si>
  <si>
    <t>Analytic Network Process</t>
  </si>
  <si>
    <t>Multi-Attribute Utility Theory</t>
  </si>
  <si>
    <t>Evaluation - based on Distance from Average Solution</t>
  </si>
  <si>
    <t>Simple Multi-attribute Rating Technique</t>
  </si>
  <si>
    <t>DEcision MAking Trial and Evaluation Laboratory</t>
  </si>
  <si>
    <t xml:space="preserve">Multiplicative Multi-Objective Optimization on the Basis of Ratio Analysis </t>
  </si>
  <si>
    <t>Multiobjective optimization on the basis of ratio analysis</t>
  </si>
  <si>
    <t>Combinative Distance-Based Assessment</t>
  </si>
  <si>
    <t>Analysis and Synthesis of Parameters under Information Deficiency methodology</t>
  </si>
  <si>
    <t>Evidence Reasoning Algorithm</t>
  </si>
  <si>
    <t>Weighted Sum Method</t>
  </si>
  <si>
    <t>The work is licensed under the creative Commons Attribution-Noncommercial</t>
  </si>
  <si>
    <t>(Credit need to be given to the author)</t>
  </si>
  <si>
    <t>To view a copy of the license, go to: http://creativecommons.org/licenses</t>
  </si>
  <si>
    <t>Continue ----&gt;</t>
  </si>
  <si>
    <t>Index of Suitability</t>
  </si>
  <si>
    <t xml:space="preserve">MCDA Index of Suitability Tool (MIST) </t>
  </si>
  <si>
    <t>What is MIST ?</t>
  </si>
  <si>
    <t>MIST Copyright</t>
  </si>
  <si>
    <r>
      <t>Select option that correspond to the expected attribute of the potential MCDA method.</t>
    </r>
    <r>
      <rPr>
        <sz val="10"/>
        <color rgb="FFFFFFFF"/>
        <rFont val="Calibri"/>
        <family val="2"/>
        <scheme val="minor"/>
      </rPr>
      <t xml:space="preserve">  from </t>
    </r>
    <r>
      <rPr>
        <b/>
        <sz val="10"/>
        <color rgb="FFFFFFFF"/>
        <rFont val="Calibri"/>
        <family val="2"/>
        <scheme val="minor"/>
      </rPr>
      <t>this row.</t>
    </r>
  </si>
  <si>
    <t>Weights</t>
  </si>
  <si>
    <t>N</t>
  </si>
  <si>
    <t>Variables</t>
  </si>
  <si>
    <t xml:space="preserve">This tool does NOT require user to type in any input. The ONLY except is when analyst is interested in changing the weights of the variables. To do that, the Orange cell is edited accordingly.  </t>
  </si>
  <si>
    <t>Weight</t>
  </si>
  <si>
    <t>Label</t>
  </si>
  <si>
    <t>Possible values</t>
  </si>
  <si>
    <t>Expected properties (value)</t>
  </si>
  <si>
    <t>A_1</t>
  </si>
  <si>
    <t>A_2</t>
  </si>
  <si>
    <t>A_3</t>
  </si>
  <si>
    <t>A_4</t>
  </si>
  <si>
    <t>Based on ISREF and Value-thinking</t>
  </si>
  <si>
    <t>B_1</t>
  </si>
  <si>
    <t>Suitable when there is limited data availability</t>
  </si>
  <si>
    <t>B_2</t>
  </si>
  <si>
    <t>B_3</t>
  </si>
  <si>
    <t>C_1</t>
  </si>
  <si>
    <t>C_2</t>
  </si>
  <si>
    <t xml:space="preserve">Energy decision affects several individuals </t>
  </si>
  <si>
    <t>C_3</t>
  </si>
  <si>
    <t>D_1</t>
  </si>
  <si>
    <t>D_2</t>
  </si>
  <si>
    <t>D_3</t>
  </si>
  <si>
    <t>No technology has the perfect solution to sustainability and resilience concerns. DM only needs the closest to the objectives.</t>
  </si>
  <si>
    <t>E_1</t>
  </si>
  <si>
    <t>Assumed at least a technical expert that could guide the process</t>
  </si>
  <si>
    <t>E_2</t>
  </si>
  <si>
    <t>F_1</t>
  </si>
  <si>
    <t>Prioritised  investment and performance improvement</t>
  </si>
  <si>
    <t>F_2</t>
  </si>
  <si>
    <t>F_3</t>
  </si>
  <si>
    <t>Maybe explain the performance scores</t>
  </si>
  <si>
    <t>F_4</t>
  </si>
  <si>
    <t>G_1</t>
  </si>
  <si>
    <t>G_2</t>
  </si>
  <si>
    <t>G_3</t>
  </si>
  <si>
    <t>The best alternative based on performance ranking</t>
  </si>
  <si>
    <t>G_4</t>
  </si>
  <si>
    <t>G1 and G3</t>
  </si>
  <si>
    <t>H_1</t>
  </si>
  <si>
    <t>Simple and easy to understand, while achieving the objectives (Inotai et al., 2018b)</t>
  </si>
  <si>
    <t>H_2</t>
  </si>
  <si>
    <t>H_3</t>
  </si>
  <si>
    <t>I_1</t>
  </si>
  <si>
    <t>I_2</t>
  </si>
  <si>
    <t>I_3</t>
  </si>
  <si>
    <t>I_4</t>
  </si>
  <si>
    <t>I_5</t>
  </si>
  <si>
    <t>I_6</t>
  </si>
  <si>
    <t>Close to the objectives; weighting both pros and cons</t>
  </si>
  <si>
    <t>I_7</t>
  </si>
  <si>
    <t>I_8</t>
  </si>
  <si>
    <t>I_9</t>
  </si>
  <si>
    <t>I.10</t>
  </si>
  <si>
    <t>I_11</t>
  </si>
  <si>
    <t>I_12</t>
  </si>
  <si>
    <t>I_13</t>
  </si>
  <si>
    <t>I_14</t>
  </si>
  <si>
    <t>J_1</t>
  </si>
  <si>
    <t>J_2</t>
  </si>
  <si>
    <t>J_3</t>
  </si>
  <si>
    <t>J_4</t>
  </si>
  <si>
    <t>Full order with score closest to the aim assumed</t>
  </si>
  <si>
    <t xml:space="preserve">Considering variable I, this option ensures alternative(s) that has score close to perfect achievement of sustainability and resilience objectives are selected  </t>
  </si>
  <si>
    <t>J_5</t>
  </si>
  <si>
    <t>J_6</t>
  </si>
  <si>
    <t>K_1</t>
  </si>
  <si>
    <t>N categories of options with the same score but different behaviour</t>
  </si>
  <si>
    <t>K_2</t>
  </si>
  <si>
    <t>Option with the higher global score</t>
  </si>
  <si>
    <t xml:space="preserve">Following from J, alternatives with higher scores are relevant </t>
  </si>
  <si>
    <t>K_3</t>
  </si>
  <si>
    <t>Option with the score closest to the ideal solution</t>
  </si>
  <si>
    <t>L_1</t>
  </si>
  <si>
    <t>None/flat</t>
  </si>
  <si>
    <t>L_2</t>
  </si>
  <si>
    <t>Two main objectives, each having at least a criterion, each criterion also has indicators. It is possible to know the contribution of each indicator to criterion, and each criterion to objective and each objective to the priority of each technology</t>
  </si>
  <si>
    <t>L_3</t>
  </si>
  <si>
    <t>M_1</t>
  </si>
  <si>
    <t>M_2</t>
  </si>
  <si>
    <t>Software maybe necessary to ease the process</t>
  </si>
  <si>
    <t>N_1</t>
  </si>
  <si>
    <t>N_2</t>
  </si>
  <si>
    <t>N_3</t>
  </si>
  <si>
    <t>Considering the technical know-how in the region of application, it is important that method selected is well-established to allow easy usage.</t>
  </si>
  <si>
    <t>Type the weight for each variable in the ornage cell (if required). If not, type '1' in all the cell if it is not the curent value.</t>
  </si>
  <si>
    <t>With the selection of the last expected solution (i.e. variable N), analyst can check both the Index of Suitability and Chart pane for the ranking of the methods</t>
  </si>
  <si>
    <t>Expected properties decision</t>
  </si>
  <si>
    <t>Continue----&gt;</t>
  </si>
  <si>
    <t>To use determine the most suitable method for your decision context (use expected properties page)</t>
  </si>
  <si>
    <t>Start selection the option that correspond to each variable based on the expected properties already determined.</t>
  </si>
  <si>
    <t>Click the option that correspond to the expected properties (You will notice changes in the green column for 'A'</t>
  </si>
  <si>
    <t>To start with the first variable 'A', click on the the label below the alphabet (i.e. Size of evaluation), this will pop up the options available below the cell</t>
  </si>
  <si>
    <t>Justification  (For clarity)</t>
  </si>
  <si>
    <t>S/N</t>
  </si>
  <si>
    <t>(Wimmler et al., 2015)</t>
  </si>
  <si>
    <t>(Rigo et al., 2020)</t>
  </si>
  <si>
    <t>(Strantzali &amp; Aravossis, 2016)</t>
  </si>
  <si>
    <t>(Wang et al., 2009)</t>
  </si>
  <si>
    <t>(Mardani et al., 2016)</t>
  </si>
  <si>
    <t>(Kaya et al., 2019)</t>
  </si>
  <si>
    <t>(Siksnelyte et al., 2018)</t>
  </si>
  <si>
    <t>(Si et al., 2016)</t>
  </si>
  <si>
    <t>(Guarini et al., 2017)</t>
  </si>
  <si>
    <t>(Cinelli, Kadzi, et al., 2022a)</t>
  </si>
  <si>
    <t>Application</t>
  </si>
  <si>
    <t>Pairwise comparison of hierarchical criteria based on difference information (additive). Rankings estimated using the maximum eigenvector method. Performance evaluation uses a 9-score system. Suitable for multiple DMs with different voting powers.</t>
  </si>
  <si>
    <t>General, non-linear evolution of AHP that uses Markov-chain based aggregation. Constructs a net model of DP as a graph structure to allow connections between criteria and the alternatives or the other criteria.</t>
  </si>
  <si>
    <t>An AHP-like method developed specifically for policy evaluation, which implies uncertainty. Contrary to AHP (which involves subjective criteria weights), criteria importance is derived mathematically based on the equality or inequality of importance among the criteria.</t>
  </si>
  <si>
    <t>Based on selecting the best (most important) and the worst (least important) decision criteria followed by systematic pairwise comparison of the remaining criteria against these two.</t>
  </si>
  <si>
    <t>Features a separated consideration of the maximising and minimising criteria influences. Consideration of maximising criteria exactly matches the idea of the SAW method. The added consideration of minimising criteria offers better precision.</t>
  </si>
  <si>
    <t>A nonparametric mathematical programming technique for evaluating the relative efficiencies of decision units with common input and output terms.</t>
  </si>
  <si>
    <t>Uses direct-influence diagrams to investigate the relationship between the criteria. Provides a hierarchy of interdependent criteria to derive a digraph of causal relations among them. Relationship matrices are filled with DMs evaluation of measurable influences.</t>
  </si>
  <si>
    <t>Originally an optimisation approach, it appraises the alternatives using the "Positive Distance From Average (DFA)" measure for beneficial criteria, and "Negative DFA" for non-beneficial.</t>
  </si>
  <si>
    <t>Trichotomic method: a decision-tree based approach for sorting the alternatives into pre-defined, ordered categories.</t>
  </si>
  <si>
    <t>A generic, evidence-based approach to problems with quantitative &amp; qualitative criteria under uncertainties, such as ignorance or randomness.</t>
  </si>
  <si>
    <t>Represents the DM preferences as a global utility function during aggregation to consider probable risks. Each alternative is given a numerical utility value to rank solutions against each other with respect to weighted criteria.</t>
  </si>
  <si>
    <t>Simplified MAUT that ignores risk i.e., uses a value function during the aggregation that does not account for risk probability. Associates a real number with each alternative and aggregates to produce a preference order consistent with DM's value.</t>
  </si>
  <si>
    <t>A scoring method based on a ratio-driven normalization. It does not use weights and it aggregates the normalized performances accounting for the distance from the reference (i.e., best) performance in the set of alternatives.</t>
  </si>
  <si>
    <t>Adaptation of the MOORA method by using the multiplicative operator to develop the final score.</t>
  </si>
  <si>
    <t>Uses outranking like ELECTRE based on the 6 functions describing the preferences against each criterion. Outranking is defined in terms of Concordance &amp; Discordance against each other.</t>
  </si>
  <si>
    <t>Simplified MAVT/special case MAUT: additive model with a linear simplification of the utility/value function. Assumes the independence of utility and preference; also implies independent criteria. Independent performances are assigned at a common scale.</t>
  </si>
  <si>
    <t>Emphasises the solutions closest to the ideal goal using Euclidean distances by minimising the distance to the ideal solution and maximising the distance to the anti-ideal solution. Requires fewer calculations than VIKOR.</t>
  </si>
  <si>
    <t>A compensatory version of TOPSIS. Only minimises the distance to the ideal solution (no account of the worst solution) using linear normalisation. Produces a more precise, relevant answer.</t>
  </si>
  <si>
    <t>Derived as a combination of WPM &amp; WSM. Uses the aggregation coefficient to produce an accurate solution estimate.</t>
  </si>
  <si>
    <t>Based on the additive utility hypothesis: global performance of each alternative is computed as the weighted algebraic sum of its evaluations against each criterion.</t>
  </si>
  <si>
    <t>ELimination Et Choix Traduisant la REalité (from French, ELimination And Choice Transcribing Reality)</t>
  </si>
  <si>
    <t xml:space="preserve">Instructions on usage of the tool </t>
  </si>
  <si>
    <r>
      <t xml:space="preserve">Repeat </t>
    </r>
    <r>
      <rPr>
        <b/>
        <sz val="9"/>
        <color theme="1" tint="4.9989318521683403E-2"/>
        <rFont val="Arial Rounded MT Bold"/>
        <family val="2"/>
      </rPr>
      <t>3.1</t>
    </r>
    <r>
      <rPr>
        <sz val="9"/>
        <color theme="1" tint="4.9989318521683403E-2"/>
        <rFont val="Arial Rounded MT Bold"/>
        <family val="2"/>
      </rPr>
      <t xml:space="preserve"> and </t>
    </r>
    <r>
      <rPr>
        <b/>
        <sz val="9"/>
        <color theme="1" tint="4.9989318521683403E-2"/>
        <rFont val="Arial Rounded MT Bold"/>
        <family val="2"/>
      </rPr>
      <t>3.2</t>
    </r>
    <r>
      <rPr>
        <sz val="9"/>
        <color theme="1" tint="4.9989318521683403E-2"/>
        <rFont val="Arial Rounded MT Bold"/>
        <family val="2"/>
      </rPr>
      <t xml:space="preserve"> for other variables (i.e., B to N)</t>
    </r>
  </si>
  <si>
    <t>Outputs</t>
  </si>
  <si>
    <t>version MIST2025</t>
  </si>
  <si>
    <t xml:space="preserve">Thanks for your interest in MCDA Index of Suitability Tool - MIST  </t>
  </si>
  <si>
    <t>This tool is MS-Excel-based software designed to assist in selecting the most suitable Multi-Criteria Decision Analysis (MCDA) method from a collection of 20 methods that are commonly used within the energy planning field. The tool identifies the appropriate method by calculating the Indices of Suitability (IS) for each approach, using 14 suitability variables related to the decision context and the MCDA method domain. To generate IS values, the user needs to select the expected characteristics of the proposed method for each variable. The results include the IS scores for each method, a chart to help visualise the priority of methods, and colour indicators that show the degree of appropriateness for a decision problem. Note that the user needs NO input data except for selecting the option that matches the expected properties of the method from a dropdown list.</t>
  </si>
  <si>
    <t xml:space="preserve">MIST was developed as part of a PhD thesis on "Integrated sustainability and resilience decision support for energy transition in sub-Saharan Africa" sponsored under This research was made possible by funding received from the Intra-Africa Mobility Scheme of the European Union in partnership with the African Union. This support falls under the Africa Sustainable Infrastructure Mobility (ASIM) scheme. It is part of the project deliverables – suitability framework for MCDA method selection in energy planning problems. In case of questions or feedback on MIST, please contact the authors through any of the contact details. Also, watch out for updates on the tools.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</si>
</sst>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164" formatCode="0.000"/>
    <numFmt numFmtId="165" formatCode="0.00000"/>
    <numFmt numFmtId="166" formatCode="0.0000"/>
  </numFmts>
  <fonts count="55" x14ac:knownFonts="1">
    <font>
      <sz val="11"/>
      <color theme="1"/>
      <name val="Calibri"/>
      <family val="2"/>
      <scheme val="minor"/>
    </font>
    <font>
      <sz val="11"/>
      <color rgb="FF006100"/>
      <name val="Calibri"/>
      <family val="2"/>
      <scheme val="minor"/>
    </font>
    <font>
      <b/>
      <sz val="11"/>
      <color rgb="FF3F3F3F"/>
      <name val="Calibri"/>
      <family val="2"/>
      <scheme val="minor"/>
    </font>
    <font>
      <b/>
      <sz val="11"/>
      <color theme="1"/>
      <name val="Calibri"/>
      <family val="2"/>
      <scheme val="minor"/>
    </font>
    <font>
      <sz val="9"/>
      <color rgb="FF000000"/>
      <name val="Times New Roman"/>
      <family val="1"/>
    </font>
    <font>
      <sz val="7"/>
      <color rgb="FF000000"/>
      <name val="Times New Roman"/>
      <family val="1"/>
    </font>
    <font>
      <sz val="10"/>
      <color theme="1"/>
      <name val="Calibri"/>
      <family val="2"/>
      <scheme val="minor"/>
    </font>
    <font>
      <sz val="9"/>
      <color theme="1"/>
      <name val="Palatino Linotype"/>
      <family val="1"/>
    </font>
    <font>
      <sz val="8"/>
      <color theme="1"/>
      <name val="Palatino Linotype"/>
      <family val="1"/>
    </font>
    <font>
      <sz val="8"/>
      <color rgb="FF000000"/>
      <name val="Palatino Linotype"/>
      <family val="1"/>
    </font>
    <font>
      <b/>
      <sz val="7"/>
      <color rgb="FF70AD47"/>
      <name val="Times New Roman"/>
      <family val="1"/>
    </font>
    <font>
      <b/>
      <sz val="9"/>
      <color rgb="FF000000"/>
      <name val="Times New Roman"/>
      <family val="1"/>
    </font>
    <font>
      <b/>
      <sz val="11"/>
      <color rgb="FF006100"/>
      <name val="Calibri"/>
      <family val="2"/>
      <scheme val="minor"/>
    </font>
    <font>
      <sz val="9"/>
      <color theme="0"/>
      <name val="Palatino Linotype"/>
      <family val="1"/>
    </font>
    <font>
      <b/>
      <sz val="16"/>
      <color theme="1"/>
      <name val="Arial Black"/>
      <family val="2"/>
    </font>
    <font>
      <b/>
      <i/>
      <sz val="11"/>
      <color theme="1"/>
      <name val="Calibri"/>
      <family val="2"/>
      <scheme val="minor"/>
    </font>
    <font>
      <i/>
      <sz val="11"/>
      <color theme="1"/>
      <name val="Calibri"/>
      <family val="2"/>
      <scheme val="minor"/>
    </font>
    <font>
      <i/>
      <u/>
      <sz val="11"/>
      <color theme="1"/>
      <name val="Calibri"/>
      <family val="2"/>
      <scheme val="minor"/>
    </font>
    <font>
      <b/>
      <sz val="10"/>
      <color theme="1"/>
      <name val="Calibri"/>
      <family val="2"/>
      <scheme val="minor"/>
    </font>
    <font>
      <u/>
      <sz val="11"/>
      <color theme="10"/>
      <name val="Calibri"/>
      <family val="2"/>
      <scheme val="minor"/>
    </font>
    <font>
      <b/>
      <i/>
      <sz val="10"/>
      <color theme="1"/>
      <name val="Calibri"/>
      <family val="2"/>
      <scheme val="minor"/>
    </font>
    <font>
      <sz val="7.5"/>
      <color rgb="FF323232"/>
      <name val="Arial"/>
      <family val="2"/>
    </font>
    <font>
      <sz val="12"/>
      <color rgb="FF323232"/>
      <name val="Palatino Linotype"/>
      <family val="1"/>
    </font>
    <font>
      <b/>
      <sz val="16"/>
      <color theme="1"/>
      <name val="Calibri"/>
      <family val="2"/>
      <scheme val="minor"/>
    </font>
    <font>
      <b/>
      <sz val="9"/>
      <color theme="1"/>
      <name val="Palatino Linotype"/>
      <family val="1"/>
    </font>
    <font>
      <b/>
      <sz val="9"/>
      <color rgb="FF000000"/>
      <name val="Palatino Linotype"/>
      <family val="1"/>
    </font>
    <font>
      <b/>
      <sz val="10"/>
      <color rgb="FFFFFFFF"/>
      <name val="Calibri"/>
      <family val="2"/>
      <scheme val="minor"/>
    </font>
    <font>
      <sz val="10"/>
      <color rgb="FFFFFFFF"/>
      <name val="Calibri"/>
      <family val="2"/>
      <scheme val="minor"/>
    </font>
    <font>
      <b/>
      <sz val="16"/>
      <color theme="0"/>
      <name val="Arial Black"/>
      <family val="2"/>
    </font>
    <font>
      <b/>
      <sz val="16"/>
      <color theme="1"/>
      <name val="Palatino Linotype"/>
      <family val="1"/>
    </font>
    <font>
      <sz val="9"/>
      <color theme="1"/>
      <name val="Bahnschrift SemiBold"/>
      <family val="2"/>
    </font>
    <font>
      <sz val="9"/>
      <color rgb="FF000000"/>
      <name val="Bahnschrift SemiBold"/>
      <family val="2"/>
    </font>
    <font>
      <b/>
      <sz val="11"/>
      <color theme="1"/>
      <name val="Palatino Linotype"/>
      <family val="1"/>
    </font>
    <font>
      <sz val="11"/>
      <color theme="1"/>
      <name val="Calibri"/>
      <family val="2"/>
      <scheme val="minor"/>
    </font>
    <font>
      <sz val="11"/>
      <color theme="0"/>
      <name val="Calibri"/>
      <family val="2"/>
      <scheme val="minor"/>
    </font>
    <font>
      <b/>
      <sz val="7"/>
      <color rgb="FFFF0000"/>
      <name val="Times New Roman"/>
      <family val="1"/>
    </font>
    <font>
      <b/>
      <sz val="10"/>
      <color theme="0"/>
      <name val="Palatino Linotype"/>
      <family val="1"/>
    </font>
    <font>
      <b/>
      <sz val="12"/>
      <color theme="0"/>
      <name val="Arial Black"/>
      <family val="2"/>
    </font>
    <font>
      <b/>
      <sz val="11"/>
      <color theme="1"/>
      <name val="Times New Roman"/>
      <family val="1"/>
    </font>
    <font>
      <b/>
      <sz val="9"/>
      <color theme="1"/>
      <name val="Times New Roman"/>
      <family val="1"/>
    </font>
    <font>
      <sz val="9"/>
      <color theme="1"/>
      <name val="Times New Roman"/>
      <family val="1"/>
    </font>
    <font>
      <i/>
      <sz val="9"/>
      <color theme="1"/>
      <name val="Times New Roman"/>
      <family val="1"/>
    </font>
    <font>
      <sz val="9"/>
      <name val="Times New Roman"/>
      <family val="1"/>
    </font>
    <font>
      <b/>
      <sz val="12"/>
      <color theme="0"/>
      <name val="Palatino Linotype"/>
      <family val="1"/>
    </font>
    <font>
      <sz val="12"/>
      <color theme="0"/>
      <name val="Palatino Linotype"/>
      <family val="1"/>
    </font>
    <font>
      <sz val="22"/>
      <color theme="10"/>
      <name val="Calibri"/>
      <family val="2"/>
      <scheme val="minor"/>
    </font>
    <font>
      <sz val="9"/>
      <color theme="1" tint="4.9989318521683403E-2"/>
      <name val="Palatino Linotype"/>
      <family val="1"/>
    </font>
    <font>
      <sz val="9"/>
      <color rgb="FF000000"/>
      <name val="Palatino Linotype"/>
      <family val="1"/>
    </font>
    <font>
      <b/>
      <sz val="14"/>
      <color theme="1" tint="4.9989318521683403E-2"/>
      <name val="Palatino Linotype"/>
      <family val="1"/>
    </font>
    <font>
      <b/>
      <sz val="12"/>
      <color theme="1" tint="4.9989318521683403E-2"/>
      <name val="Palatino Linotype"/>
      <family val="1"/>
    </font>
    <font>
      <b/>
      <sz val="14"/>
      <color theme="1" tint="4.9989318521683403E-2"/>
      <name val="Arial Rounded MT Bold"/>
      <family val="2"/>
    </font>
    <font>
      <sz val="9"/>
      <color theme="1" tint="4.9989318521683403E-2"/>
      <name val="Arial Rounded MT Bold"/>
      <family val="2"/>
    </font>
    <font>
      <sz val="8.5"/>
      <color theme="1" tint="4.9989318521683403E-2"/>
      <name val="Arial Rounded MT Bold"/>
      <family val="2"/>
    </font>
    <font>
      <b/>
      <sz val="9"/>
      <color theme="1" tint="4.9989318521683403E-2"/>
      <name val="Arial Rounded MT Bold"/>
      <family val="2"/>
    </font>
    <font>
      <sz val="16"/>
      <color theme="0"/>
      <name val="Arial Black"/>
      <family val="2"/>
    </font>
  </fonts>
  <fills count="12">
    <fill>
      <patternFill patternType="none"/>
    </fill>
    <fill>
      <patternFill patternType="gray125"/>
    </fill>
    <fill>
      <patternFill patternType="solid">
        <fgColor rgb="FFC6EFCE"/>
      </patternFill>
    </fill>
    <fill>
      <patternFill patternType="solid">
        <fgColor rgb="FFF2F2F2"/>
      </patternFill>
    </fill>
    <fill>
      <patternFill patternType="solid">
        <fgColor rgb="FFFFFFFF"/>
        <bgColor indexed="64"/>
      </patternFill>
    </fill>
    <fill>
      <patternFill patternType="solid">
        <fgColor theme="1"/>
        <bgColor indexed="64"/>
      </patternFill>
    </fill>
    <fill>
      <patternFill patternType="solid">
        <fgColor theme="0"/>
        <bgColor indexed="64"/>
      </patternFill>
    </fill>
    <fill>
      <patternFill patternType="solid">
        <fgColor rgb="FFFFFFCC"/>
      </patternFill>
    </fill>
    <fill>
      <patternFill patternType="solid">
        <fgColor theme="7"/>
      </patternFill>
    </fill>
    <fill>
      <patternFill patternType="solid">
        <fgColor rgb="FFD9D9D9"/>
        <bgColor indexed="64"/>
      </patternFill>
    </fill>
    <fill>
      <patternFill patternType="solid">
        <fgColor theme="3" tint="0.79998168889431442"/>
        <bgColor indexed="64"/>
      </patternFill>
    </fill>
    <fill>
      <patternFill patternType="solid">
        <fgColor theme="6" tint="0.39997558519241921"/>
        <bgColor indexed="65"/>
      </patternFill>
    </fill>
  </fills>
  <borders count="37">
    <border>
      <left/>
      <right/>
      <top/>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style="medium">
        <color indexed="64"/>
      </right>
      <top style="medium">
        <color indexed="64"/>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right style="medium">
        <color indexed="64"/>
      </right>
      <top/>
      <bottom/>
      <diagonal/>
    </border>
    <border>
      <left style="medium">
        <color indexed="64"/>
      </left>
      <right/>
      <top style="medium">
        <color indexed="64"/>
      </top>
      <bottom/>
      <diagonal/>
    </border>
    <border>
      <left style="medium">
        <color indexed="64"/>
      </left>
      <right/>
      <top/>
      <bottom/>
      <diagonal/>
    </border>
    <border>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right/>
      <top style="medium">
        <color indexed="64"/>
      </top>
      <bottom/>
      <diagonal/>
    </border>
    <border>
      <left/>
      <right/>
      <top style="medium">
        <color indexed="64"/>
      </top>
      <bottom style="medium">
        <color indexed="64"/>
      </bottom>
      <diagonal/>
    </border>
    <border>
      <left/>
      <right/>
      <top/>
      <bottom style="medium">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
      <left style="thin">
        <color indexed="64"/>
      </left>
      <right/>
      <top/>
      <bottom/>
      <diagonal/>
    </border>
    <border>
      <left/>
      <right style="thin">
        <color indexed="64"/>
      </right>
      <top/>
      <bottom/>
      <diagonal/>
    </border>
    <border>
      <left/>
      <right/>
      <top/>
      <bottom style="thin">
        <color indexed="64"/>
      </bottom>
      <diagonal/>
    </border>
    <border>
      <left style="medium">
        <color indexed="64"/>
      </left>
      <right/>
      <top/>
      <bottom style="medium">
        <color indexed="64"/>
      </bottom>
      <diagonal/>
    </border>
    <border>
      <left style="thin">
        <color indexed="64"/>
      </left>
      <right style="thin">
        <color indexed="64"/>
      </right>
      <top/>
      <bottom/>
      <diagonal/>
    </border>
    <border>
      <left/>
      <right/>
      <top style="thin">
        <color indexed="64"/>
      </top>
      <bottom style="thin">
        <color indexed="64"/>
      </bottom>
      <diagonal/>
    </border>
    <border>
      <left style="thin">
        <color indexed="64"/>
      </left>
      <right style="thin">
        <color indexed="64"/>
      </right>
      <top style="medium">
        <color indexed="64"/>
      </top>
      <bottom style="medium">
        <color indexed="64"/>
      </bottom>
      <diagonal/>
    </border>
    <border>
      <left style="thin">
        <color rgb="FFB2B2B2"/>
      </left>
      <right style="thin">
        <color rgb="FFB2B2B2"/>
      </right>
      <top style="thin">
        <color rgb="FFB2B2B2"/>
      </top>
      <bottom style="thin">
        <color rgb="FFB2B2B2"/>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style="medium">
        <color indexed="64"/>
      </left>
      <right style="thin">
        <color indexed="64"/>
      </right>
      <top/>
      <bottom style="thin">
        <color indexed="64"/>
      </bottom>
      <diagonal/>
    </border>
    <border>
      <left/>
      <right style="thin">
        <color indexed="64"/>
      </right>
      <top style="medium">
        <color indexed="64"/>
      </top>
      <bottom/>
      <diagonal/>
    </border>
    <border>
      <left/>
      <right style="thin">
        <color indexed="64"/>
      </right>
      <top/>
      <bottom style="medium">
        <color indexed="64"/>
      </bottom>
      <diagonal/>
    </border>
  </borders>
  <cellStyleXfs count="7">
    <xf numFmtId="0" fontId="0" fillId="0" borderId="0"/>
    <xf numFmtId="0" fontId="1" fillId="2" borderId="0" applyNumberFormat="0" applyBorder="0" applyAlignment="0" applyProtection="0"/>
    <xf numFmtId="0" fontId="2" fillId="3" borderId="1" applyNumberFormat="0" applyAlignment="0" applyProtection="0"/>
    <xf numFmtId="0" fontId="19" fillId="0" borderId="0" applyNumberFormat="0" applyFill="0" applyBorder="0" applyAlignment="0" applyProtection="0"/>
    <xf numFmtId="0" fontId="33" fillId="7" borderId="31" applyNumberFormat="0" applyFont="0" applyAlignment="0" applyProtection="0"/>
    <xf numFmtId="0" fontId="34" fillId="8" borderId="0" applyNumberFormat="0" applyBorder="0" applyAlignment="0" applyProtection="0"/>
    <xf numFmtId="0" fontId="34" fillId="11" borderId="0" applyNumberFormat="0" applyBorder="0" applyAlignment="0" applyProtection="0"/>
  </cellStyleXfs>
  <cellXfs count="197">
    <xf numFmtId="0" fontId="0" fillId="0" borderId="0" xfId="0"/>
    <xf numFmtId="0" fontId="4" fillId="0" borderId="6" xfId="0" applyFont="1" applyBorder="1" applyAlignment="1">
      <alignment vertical="center" wrapText="1"/>
    </xf>
    <xf numFmtId="0" fontId="0" fillId="0" borderId="0" xfId="0" applyBorder="1"/>
    <xf numFmtId="0" fontId="4" fillId="0" borderId="0" xfId="0" applyFont="1" applyBorder="1" applyAlignment="1">
      <alignment vertical="center" wrapText="1"/>
    </xf>
    <xf numFmtId="0" fontId="0" fillId="0" borderId="4" xfId="0" applyBorder="1" applyAlignment="1">
      <alignment vertical="center"/>
    </xf>
    <xf numFmtId="0" fontId="5" fillId="0" borderId="4" xfId="0" applyFont="1" applyBorder="1" applyAlignment="1">
      <alignment horizontal="center" vertical="center"/>
    </xf>
    <xf numFmtId="0" fontId="7" fillId="0" borderId="0" xfId="0" applyFont="1"/>
    <xf numFmtId="0" fontId="8" fillId="0" borderId="0" xfId="0" applyFont="1"/>
    <xf numFmtId="0" fontId="0" fillId="0" borderId="4" xfId="0" applyBorder="1"/>
    <xf numFmtId="0" fontId="4" fillId="4" borderId="6" xfId="0" applyFont="1" applyFill="1" applyBorder="1" applyAlignment="1">
      <alignment horizontal="center" vertical="center"/>
    </xf>
    <xf numFmtId="0" fontId="4" fillId="4" borderId="0" xfId="0" applyFont="1" applyFill="1" applyBorder="1" applyAlignment="1">
      <alignment vertical="center" wrapText="1"/>
    </xf>
    <xf numFmtId="0" fontId="4" fillId="4" borderId="11" xfId="0" applyFont="1" applyFill="1" applyBorder="1" applyAlignment="1">
      <alignment vertical="center" wrapText="1"/>
    </xf>
    <xf numFmtId="0" fontId="5" fillId="4" borderId="0" xfId="0" applyFont="1" applyFill="1" applyBorder="1" applyAlignment="1">
      <alignment horizontal="center" vertical="center"/>
    </xf>
    <xf numFmtId="0" fontId="4" fillId="0" borderId="11" xfId="0" applyFont="1" applyBorder="1" applyAlignment="1">
      <alignment vertical="center" wrapText="1"/>
    </xf>
    <xf numFmtId="0" fontId="0" fillId="4" borderId="11" xfId="0" applyFill="1" applyBorder="1" applyAlignment="1">
      <alignment vertical="center"/>
    </xf>
    <xf numFmtId="0" fontId="5" fillId="4" borderId="11" xfId="0" applyFont="1" applyFill="1" applyBorder="1" applyAlignment="1">
      <alignment horizontal="center" vertical="center"/>
    </xf>
    <xf numFmtId="0" fontId="4" fillId="0" borderId="0" xfId="0" applyFont="1" applyFill="1" applyBorder="1" applyAlignment="1">
      <alignment vertical="center" wrapText="1"/>
    </xf>
    <xf numFmtId="0" fontId="4" fillId="0" borderId="5" xfId="0" applyFont="1" applyBorder="1" applyAlignment="1">
      <alignment horizontal="center" vertical="center"/>
    </xf>
    <xf numFmtId="0" fontId="4" fillId="0" borderId="6" xfId="0" applyFont="1" applyBorder="1" applyAlignment="1">
      <alignment horizontal="center" vertical="center"/>
    </xf>
    <xf numFmtId="0" fontId="0" fillId="0" borderId="0" xfId="0" applyAlignment="1">
      <alignment horizontal="center"/>
    </xf>
    <xf numFmtId="0" fontId="5" fillId="0" borderId="5" xfId="0" applyFont="1" applyBorder="1" applyAlignment="1">
      <alignment horizontal="center" vertical="center"/>
    </xf>
    <xf numFmtId="0" fontId="5" fillId="0" borderId="3" xfId="0" applyFont="1" applyBorder="1" applyAlignment="1">
      <alignment horizontal="center" vertical="center"/>
    </xf>
    <xf numFmtId="0" fontId="4" fillId="0" borderId="0" xfId="0" applyFont="1" applyFill="1" applyBorder="1" applyAlignment="1">
      <alignment horizontal="center" vertical="center"/>
    </xf>
    <xf numFmtId="0" fontId="4" fillId="4" borderId="5" xfId="0" applyFont="1" applyFill="1" applyBorder="1" applyAlignment="1">
      <alignment horizontal="center" vertical="center"/>
    </xf>
    <xf numFmtId="0" fontId="0" fillId="0" borderId="0" xfId="0" applyBorder="1" applyAlignment="1">
      <alignment horizontal="center"/>
    </xf>
    <xf numFmtId="0" fontId="0" fillId="0" borderId="0" xfId="0" applyBorder="1" applyAlignment="1">
      <alignment horizontal="center" vertical="center"/>
    </xf>
    <xf numFmtId="0" fontId="0" fillId="0" borderId="0" xfId="0" applyBorder="1" applyAlignment="1">
      <alignment vertical="center"/>
    </xf>
    <xf numFmtId="0" fontId="5" fillId="0" borderId="14" xfId="0" applyFont="1" applyBorder="1" applyAlignment="1">
      <alignment horizontal="center" vertical="center"/>
    </xf>
    <xf numFmtId="0" fontId="5" fillId="0" borderId="0" xfId="0" applyFont="1" applyBorder="1" applyAlignment="1">
      <alignment horizontal="center" vertical="center"/>
    </xf>
    <xf numFmtId="0" fontId="0" fillId="0" borderId="14" xfId="0" applyBorder="1"/>
    <xf numFmtId="0" fontId="0" fillId="0" borderId="7" xfId="0" applyBorder="1"/>
    <xf numFmtId="0" fontId="4" fillId="0" borderId="16" xfId="0" applyFont="1" applyBorder="1" applyAlignment="1">
      <alignment vertical="center" wrapText="1"/>
    </xf>
    <xf numFmtId="0" fontId="4" fillId="0" borderId="18" xfId="0" applyFont="1" applyBorder="1" applyAlignment="1">
      <alignment horizontal="center" vertical="center"/>
    </xf>
    <xf numFmtId="0" fontId="0" fillId="0" borderId="11" xfId="0" applyBorder="1" applyAlignment="1">
      <alignment vertical="center"/>
    </xf>
    <xf numFmtId="0" fontId="5" fillId="0" borderId="11" xfId="0" applyFont="1" applyBorder="1" applyAlignment="1">
      <alignment horizontal="center" vertical="center"/>
    </xf>
    <xf numFmtId="0" fontId="0" fillId="0" borderId="19" xfId="0" applyBorder="1" applyAlignment="1">
      <alignment vertical="center"/>
    </xf>
    <xf numFmtId="0" fontId="4" fillId="0" borderId="20" xfId="0" applyFont="1" applyBorder="1" applyAlignment="1">
      <alignment horizontal="center" vertical="center"/>
    </xf>
    <xf numFmtId="0" fontId="0" fillId="0" borderId="21" xfId="0" applyBorder="1" applyAlignment="1">
      <alignment vertical="center"/>
    </xf>
    <xf numFmtId="0" fontId="5" fillId="0" borderId="21" xfId="0" applyFont="1" applyBorder="1" applyAlignment="1">
      <alignment horizontal="center" vertical="center"/>
    </xf>
    <xf numFmtId="0" fontId="0" fillId="0" borderId="23" xfId="0" applyBorder="1"/>
    <xf numFmtId="0" fontId="0" fillId="0" borderId="25" xfId="0" applyBorder="1"/>
    <xf numFmtId="0" fontId="0" fillId="0" borderId="26" xfId="0" applyBorder="1"/>
    <xf numFmtId="0" fontId="0" fillId="0" borderId="15" xfId="0" applyBorder="1"/>
    <xf numFmtId="0" fontId="4" fillId="0" borderId="0" xfId="0" applyFont="1" applyBorder="1" applyAlignment="1">
      <alignment horizontal="center" vertical="center"/>
    </xf>
    <xf numFmtId="0" fontId="9" fillId="0" borderId="0" xfId="0" applyFont="1" applyBorder="1" applyAlignment="1">
      <alignment vertical="center" wrapText="1"/>
    </xf>
    <xf numFmtId="0" fontId="10" fillId="0" borderId="0"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14" xfId="0" applyFont="1" applyBorder="1" applyAlignment="1">
      <alignment horizontal="center" vertical="center"/>
    </xf>
    <xf numFmtId="0" fontId="5" fillId="0" borderId="13" xfId="0" applyFont="1" applyBorder="1" applyAlignment="1">
      <alignment horizontal="center" vertical="center"/>
    </xf>
    <xf numFmtId="0" fontId="4" fillId="4" borderId="0" xfId="0" applyFont="1" applyFill="1" applyBorder="1" applyAlignment="1">
      <alignment horizontal="center" vertical="center"/>
    </xf>
    <xf numFmtId="0" fontId="0" fillId="4" borderId="0" xfId="0" applyFill="1" applyBorder="1" applyAlignment="1">
      <alignment vertical="center"/>
    </xf>
    <xf numFmtId="0" fontId="4" fillId="0" borderId="16" xfId="0" applyFont="1" applyBorder="1" applyAlignment="1">
      <alignment horizontal="center" vertical="center"/>
    </xf>
    <xf numFmtId="0" fontId="4" fillId="0" borderId="17" xfId="0" applyFont="1" applyBorder="1" applyAlignment="1">
      <alignment horizontal="center" vertical="center"/>
    </xf>
    <xf numFmtId="0" fontId="4" fillId="0" borderId="0" xfId="0" applyFont="1" applyBorder="1"/>
    <xf numFmtId="0" fontId="11" fillId="0" borderId="28" xfId="0" applyFont="1" applyBorder="1" applyAlignment="1">
      <alignment vertical="center" wrapText="1"/>
    </xf>
    <xf numFmtId="0" fontId="4" fillId="0" borderId="28" xfId="0" applyFont="1" applyBorder="1" applyAlignment="1">
      <alignment horizontal="center" vertical="center"/>
    </xf>
    <xf numFmtId="0" fontId="4" fillId="0" borderId="24" xfId="0" applyFont="1" applyBorder="1" applyAlignment="1">
      <alignment horizontal="center" vertical="center"/>
    </xf>
    <xf numFmtId="0" fontId="5" fillId="0" borderId="19" xfId="0" applyFont="1" applyBorder="1" applyAlignment="1">
      <alignment horizontal="center" vertical="center"/>
    </xf>
    <xf numFmtId="0" fontId="4" fillId="0" borderId="21" xfId="0" applyFont="1" applyBorder="1" applyAlignment="1">
      <alignment vertical="center" wrapText="1"/>
    </xf>
    <xf numFmtId="0" fontId="0" fillId="0" borderId="22" xfId="0" applyBorder="1" applyAlignment="1">
      <alignment vertical="center"/>
    </xf>
    <xf numFmtId="0" fontId="7" fillId="0" borderId="0" xfId="0" applyFont="1" applyAlignment="1">
      <alignment horizontal="center"/>
    </xf>
    <xf numFmtId="0" fontId="3" fillId="0" borderId="0" xfId="0" applyFont="1"/>
    <xf numFmtId="0" fontId="6" fillId="0" borderId="23" xfId="0" applyFont="1" applyBorder="1"/>
    <xf numFmtId="0" fontId="6" fillId="0" borderId="26" xfId="0" applyFont="1" applyBorder="1"/>
    <xf numFmtId="0" fontId="6" fillId="0" borderId="0" xfId="0" applyFont="1" applyBorder="1"/>
    <xf numFmtId="0" fontId="6" fillId="0" borderId="23" xfId="0" applyFont="1" applyBorder="1" applyAlignment="1">
      <alignment wrapText="1"/>
    </xf>
    <xf numFmtId="0" fontId="14" fillId="0" borderId="5" xfId="0" applyFont="1" applyBorder="1" applyAlignment="1">
      <alignment horizontal="center" vertical="center"/>
    </xf>
    <xf numFmtId="0" fontId="19" fillId="0" borderId="23" xfId="3" applyBorder="1"/>
    <xf numFmtId="0" fontId="0" fillId="0" borderId="0" xfId="0" applyFill="1" applyBorder="1"/>
    <xf numFmtId="0" fontId="19" fillId="0" borderId="0" xfId="3" applyFill="1" applyBorder="1"/>
    <xf numFmtId="0" fontId="19" fillId="0" borderId="23" xfId="3" applyBorder="1" applyAlignment="1">
      <alignment vertical="top"/>
    </xf>
    <xf numFmtId="0" fontId="0" fillId="0" borderId="8" xfId="0" applyBorder="1"/>
    <xf numFmtId="0" fontId="0" fillId="0" borderId="12" xfId="0" applyBorder="1"/>
    <xf numFmtId="0" fontId="0" fillId="0" borderId="10" xfId="0" applyBorder="1"/>
    <xf numFmtId="0" fontId="0" fillId="0" borderId="9" xfId="0" applyBorder="1"/>
    <xf numFmtId="0" fontId="14" fillId="0" borderId="0" xfId="0" applyFont="1" applyBorder="1" applyAlignment="1"/>
    <xf numFmtId="0" fontId="15" fillId="0" borderId="0" xfId="0" applyFont="1" applyBorder="1" applyAlignment="1">
      <alignment horizontal="right"/>
    </xf>
    <xf numFmtId="0" fontId="17" fillId="0" borderId="0" xfId="0" applyFont="1" applyBorder="1" applyAlignment="1">
      <alignment horizontal="right"/>
    </xf>
    <xf numFmtId="0" fontId="16" fillId="0" borderId="0" xfId="0" applyFont="1" applyBorder="1"/>
    <xf numFmtId="14" fontId="0" fillId="0" borderId="0" xfId="0" applyNumberFormat="1" applyBorder="1"/>
    <xf numFmtId="0" fontId="19" fillId="0" borderId="0" xfId="3" applyBorder="1"/>
    <xf numFmtId="0" fontId="0" fillId="0" borderId="27" xfId="0" applyBorder="1"/>
    <xf numFmtId="0" fontId="20" fillId="0" borderId="26" xfId="0" applyFont="1" applyBorder="1"/>
    <xf numFmtId="0" fontId="18" fillId="0" borderId="23" xfId="0" applyFont="1" applyBorder="1"/>
    <xf numFmtId="0" fontId="18" fillId="0" borderId="0" xfId="0" applyFont="1" applyBorder="1"/>
    <xf numFmtId="0" fontId="18" fillId="0" borderId="23" xfId="0" applyFont="1" applyBorder="1" applyAlignment="1">
      <alignment vertical="top"/>
    </xf>
    <xf numFmtId="0" fontId="21" fillId="0" borderId="0" xfId="0" applyFont="1" applyAlignment="1">
      <alignment horizontal="right" vertical="center" wrapText="1"/>
    </xf>
    <xf numFmtId="0" fontId="3" fillId="0" borderId="0" xfId="0" applyFont="1" applyFill="1" applyBorder="1"/>
    <xf numFmtId="0" fontId="0" fillId="0" borderId="0" xfId="0" applyFill="1" applyBorder="1" applyAlignment="1">
      <alignment vertical="top" wrapText="1"/>
    </xf>
    <xf numFmtId="0" fontId="0" fillId="0" borderId="7" xfId="0" applyFill="1" applyBorder="1" applyAlignment="1">
      <alignment vertical="top" wrapText="1"/>
    </xf>
    <xf numFmtId="0" fontId="23" fillId="0" borderId="0" xfId="0" applyFont="1" applyBorder="1"/>
    <xf numFmtId="0" fontId="13" fillId="5" borderId="0" xfId="0" applyFont="1" applyFill="1"/>
    <xf numFmtId="0" fontId="7" fillId="0" borderId="0" xfId="0" applyFont="1" applyFill="1"/>
    <xf numFmtId="0" fontId="7" fillId="0" borderId="0" xfId="0" applyFont="1" applyFill="1" applyAlignment="1">
      <alignment horizontal="center"/>
    </xf>
    <xf numFmtId="0" fontId="24" fillId="0" borderId="13" xfId="0" applyFont="1" applyFill="1" applyBorder="1" applyAlignment="1">
      <alignment horizontal="center" vertical="center"/>
    </xf>
    <xf numFmtId="0" fontId="7" fillId="0" borderId="10" xfId="0" applyFont="1" applyFill="1" applyBorder="1"/>
    <xf numFmtId="0" fontId="7" fillId="0" borderId="7" xfId="0" applyFont="1" applyFill="1" applyBorder="1" applyAlignment="1">
      <alignment horizontal="center"/>
    </xf>
    <xf numFmtId="0" fontId="7" fillId="0" borderId="7" xfId="0" applyFont="1" applyFill="1" applyBorder="1"/>
    <xf numFmtId="0" fontId="7" fillId="0" borderId="27" xfId="0" applyFont="1" applyFill="1" applyBorder="1"/>
    <xf numFmtId="0" fontId="7" fillId="0" borderId="14" xfId="0" applyFont="1" applyFill="1" applyBorder="1"/>
    <xf numFmtId="0" fontId="7" fillId="0" borderId="4" xfId="0" applyFont="1" applyFill="1" applyBorder="1"/>
    <xf numFmtId="0" fontId="7" fillId="0" borderId="0" xfId="0" applyFont="1" applyFill="1" applyBorder="1"/>
    <xf numFmtId="0" fontId="24" fillId="0" borderId="0" xfId="0" applyFont="1" applyFill="1" applyBorder="1" applyAlignment="1">
      <alignment horizontal="center" vertical="center"/>
    </xf>
    <xf numFmtId="0" fontId="24" fillId="0" borderId="0" xfId="0" applyFont="1" applyFill="1" applyBorder="1" applyAlignment="1">
      <alignment vertical="center"/>
    </xf>
    <xf numFmtId="0" fontId="7" fillId="0" borderId="0" xfId="0" applyFont="1" applyFill="1" applyBorder="1" applyAlignment="1">
      <alignment horizontal="center"/>
    </xf>
    <xf numFmtId="0" fontId="12" fillId="2" borderId="2" xfId="1" applyFont="1" applyBorder="1" applyAlignment="1">
      <alignment horizontal="center"/>
    </xf>
    <xf numFmtId="0" fontId="26" fillId="0" borderId="0" xfId="0" applyFont="1" applyFill="1" applyBorder="1" applyAlignment="1">
      <alignment horizontal="left" vertical="top"/>
    </xf>
    <xf numFmtId="0" fontId="25" fillId="0" borderId="0" xfId="0" applyFont="1" applyFill="1" applyBorder="1" applyAlignment="1">
      <alignment horizontal="left" vertical="center"/>
    </xf>
    <xf numFmtId="0" fontId="24" fillId="0" borderId="12" xfId="0" applyFont="1" applyFill="1" applyBorder="1" applyAlignment="1">
      <alignment vertical="center"/>
    </xf>
    <xf numFmtId="0" fontId="7" fillId="0" borderId="8" xfId="0" applyFont="1" applyFill="1" applyBorder="1" applyAlignment="1">
      <alignment horizontal="center"/>
    </xf>
    <xf numFmtId="0" fontId="7" fillId="0" borderId="9" xfId="0" applyFont="1" applyFill="1" applyBorder="1" applyAlignment="1">
      <alignment horizontal="center"/>
    </xf>
    <xf numFmtId="0" fontId="7" fillId="0" borderId="9" xfId="0" applyFont="1" applyFill="1" applyBorder="1"/>
    <xf numFmtId="0" fontId="25" fillId="0" borderId="11" xfId="0" applyFont="1" applyFill="1" applyBorder="1" applyAlignment="1">
      <alignment horizontal="left" vertical="center"/>
    </xf>
    <xf numFmtId="0" fontId="7" fillId="0" borderId="8" xfId="0" applyFont="1" applyFill="1" applyBorder="1"/>
    <xf numFmtId="0" fontId="7" fillId="0" borderId="12" xfId="0" applyFont="1" applyFill="1" applyBorder="1"/>
    <xf numFmtId="0" fontId="7" fillId="0" borderId="14" xfId="0" applyFont="1" applyFill="1" applyBorder="1" applyAlignment="1">
      <alignment horizontal="left" indent="1"/>
    </xf>
    <xf numFmtId="0" fontId="31" fillId="0" borderId="0" xfId="0" applyFont="1" applyFill="1" applyBorder="1" applyAlignment="1">
      <alignment horizontal="center" vertical="center" wrapText="1"/>
    </xf>
    <xf numFmtId="0" fontId="13" fillId="6" borderId="0" xfId="0" applyFont="1" applyFill="1"/>
    <xf numFmtId="0" fontId="24" fillId="0" borderId="30" xfId="0" applyFont="1" applyFill="1" applyBorder="1" applyAlignment="1">
      <alignment horizontal="center" vertical="center"/>
    </xf>
    <xf numFmtId="0" fontId="19" fillId="0" borderId="30" xfId="3" applyFill="1" applyBorder="1" applyAlignment="1">
      <alignment horizontal="center" vertical="center" wrapText="1"/>
    </xf>
    <xf numFmtId="0" fontId="32" fillId="0" borderId="0" xfId="0" applyFont="1" applyFill="1" applyBorder="1" applyAlignment="1">
      <alignment vertical="top"/>
    </xf>
    <xf numFmtId="0" fontId="35" fillId="0" borderId="4" xfId="0" applyFont="1" applyBorder="1" applyAlignment="1">
      <alignment horizontal="center" vertical="center"/>
    </xf>
    <xf numFmtId="0" fontId="32" fillId="0" borderId="0" xfId="0" applyFont="1" applyFill="1" applyBorder="1" applyAlignment="1">
      <alignment horizontal="left" vertical="top" indent="1"/>
    </xf>
    <xf numFmtId="164" fontId="32" fillId="0" borderId="0" xfId="0" applyNumberFormat="1" applyFont="1" applyFill="1" applyBorder="1" applyAlignment="1">
      <alignment horizontal="right" vertical="top"/>
    </xf>
    <xf numFmtId="0" fontId="7" fillId="0" borderId="32" xfId="0" applyFont="1" applyFill="1" applyBorder="1"/>
    <xf numFmtId="0" fontId="7" fillId="0" borderId="33" xfId="0" applyFont="1" applyFill="1" applyBorder="1"/>
    <xf numFmtId="0" fontId="25" fillId="0" borderId="21" xfId="0" applyFont="1" applyFill="1" applyBorder="1" applyAlignment="1">
      <alignment horizontal="left" vertical="center"/>
    </xf>
    <xf numFmtId="0" fontId="7" fillId="0" borderId="34" xfId="0" applyFont="1" applyFill="1" applyBorder="1"/>
    <xf numFmtId="0" fontId="36" fillId="5" borderId="14" xfId="0" applyFont="1" applyFill="1" applyBorder="1" applyAlignment="1">
      <alignment vertical="center"/>
    </xf>
    <xf numFmtId="0" fontId="7" fillId="5" borderId="27" xfId="0" applyFont="1" applyFill="1" applyBorder="1"/>
    <xf numFmtId="0" fontId="7" fillId="5" borderId="13" xfId="0" applyFont="1" applyFill="1" applyBorder="1"/>
    <xf numFmtId="0" fontId="7" fillId="0" borderId="0" xfId="0" applyFont="1" applyBorder="1"/>
    <xf numFmtId="0" fontId="0" fillId="6" borderId="0" xfId="0" applyFill="1"/>
    <xf numFmtId="0" fontId="0" fillId="6" borderId="0" xfId="0" applyFill="1" applyAlignment="1">
      <alignment horizontal="center" vertical="center"/>
    </xf>
    <xf numFmtId="0" fontId="0" fillId="6" borderId="0" xfId="0" applyFill="1" applyAlignment="1">
      <alignment wrapText="1"/>
    </xf>
    <xf numFmtId="0" fontId="38" fillId="6" borderId="0" xfId="0" applyFont="1" applyFill="1" applyAlignment="1">
      <alignment vertical="center"/>
    </xf>
    <xf numFmtId="0" fontId="7" fillId="0" borderId="9" xfId="0" applyFont="1" applyBorder="1"/>
    <xf numFmtId="0" fontId="43" fillId="5" borderId="0" xfId="0" applyFont="1" applyFill="1" applyBorder="1"/>
    <xf numFmtId="0" fontId="43" fillId="5" borderId="11" xfId="2" applyFont="1" applyFill="1" applyBorder="1" applyAlignment="1">
      <alignment horizontal="center" vertical="center" wrapText="1"/>
    </xf>
    <xf numFmtId="0" fontId="44" fillId="6" borderId="0" xfId="0" applyFont="1" applyFill="1" applyBorder="1"/>
    <xf numFmtId="0" fontId="29" fillId="0" borderId="19" xfId="0" applyFont="1" applyFill="1" applyBorder="1" applyAlignment="1">
      <alignment vertical="center"/>
    </xf>
    <xf numFmtId="0" fontId="29" fillId="0" borderId="29" xfId="0" applyFont="1" applyFill="1" applyBorder="1" applyAlignment="1">
      <alignment vertical="center"/>
    </xf>
    <xf numFmtId="0" fontId="7" fillId="0" borderId="18" xfId="0" applyFont="1" applyBorder="1"/>
    <xf numFmtId="0" fontId="39" fillId="7" borderId="31" xfId="4" applyFont="1" applyAlignment="1">
      <alignment horizontal="center" vertical="center"/>
    </xf>
    <xf numFmtId="0" fontId="39" fillId="7" borderId="31" xfId="4" applyFont="1" applyAlignment="1">
      <alignment horizontal="center" vertical="center" wrapText="1"/>
    </xf>
    <xf numFmtId="0" fontId="39" fillId="7" borderId="31" xfId="4" applyFont="1" applyAlignment="1">
      <alignment vertical="center" wrapText="1"/>
    </xf>
    <xf numFmtId="0" fontId="11" fillId="7" borderId="31" xfId="4" applyFont="1" applyAlignment="1">
      <alignment vertical="center" wrapText="1"/>
    </xf>
    <xf numFmtId="0" fontId="40" fillId="7" borderId="31" xfId="4" applyFont="1" applyAlignment="1">
      <alignment horizontal="center" vertical="center"/>
    </xf>
    <xf numFmtId="0" fontId="40" fillId="7" borderId="31" xfId="4" applyFont="1" applyAlignment="1">
      <alignment horizontal="center" vertical="center" wrapText="1"/>
    </xf>
    <xf numFmtId="0" fontId="40" fillId="7" borderId="31" xfId="4" applyFont="1" applyAlignment="1">
      <alignment vertical="center" wrapText="1"/>
    </xf>
    <xf numFmtId="0" fontId="4" fillId="7" borderId="31" xfId="4" applyFont="1" applyAlignment="1">
      <alignment vertical="center" wrapText="1"/>
    </xf>
    <xf numFmtId="0" fontId="0" fillId="7" borderId="31" xfId="4" applyFont="1" applyAlignment="1">
      <alignment vertical="center"/>
    </xf>
    <xf numFmtId="0" fontId="41" fillId="7" borderId="31" xfId="4" applyFont="1" applyAlignment="1">
      <alignment horizontal="center" vertical="center" wrapText="1"/>
    </xf>
    <xf numFmtId="0" fontId="42" fillId="7" borderId="31" xfId="4" applyFont="1" applyAlignment="1">
      <alignment vertical="center" wrapText="1"/>
    </xf>
    <xf numFmtId="0" fontId="0" fillId="6" borderId="0" xfId="0" applyFont="1" applyFill="1"/>
    <xf numFmtId="0" fontId="45" fillId="0" borderId="0" xfId="3" applyFont="1" applyBorder="1"/>
    <xf numFmtId="0" fontId="7" fillId="0" borderId="11" xfId="0" applyFont="1" applyBorder="1"/>
    <xf numFmtId="0" fontId="47" fillId="0" borderId="11" xfId="0" applyFont="1" applyBorder="1"/>
    <xf numFmtId="0" fontId="25" fillId="0" borderId="11" xfId="0" applyFont="1" applyBorder="1" applyAlignment="1">
      <alignment horizontal="center" vertical="center" wrapText="1"/>
    </xf>
    <xf numFmtId="0" fontId="25" fillId="0" borderId="11" xfId="0" applyFont="1" applyBorder="1" applyAlignment="1">
      <alignment vertical="center" wrapText="1"/>
    </xf>
    <xf numFmtId="0" fontId="47" fillId="0" borderId="11" xfId="0" applyFont="1" applyBorder="1" applyAlignment="1">
      <alignment horizontal="center" vertical="center" wrapText="1"/>
    </xf>
    <xf numFmtId="0" fontId="47" fillId="0" borderId="11" xfId="0" applyFont="1" applyBorder="1" applyAlignment="1">
      <alignment vertical="center" wrapText="1"/>
    </xf>
    <xf numFmtId="0" fontId="47" fillId="9" borderId="11" xfId="0" applyFont="1" applyFill="1" applyBorder="1" applyAlignment="1">
      <alignment horizontal="center" vertical="center" wrapText="1"/>
    </xf>
    <xf numFmtId="0" fontId="7" fillId="0" borderId="35" xfId="0" applyFont="1" applyFill="1" applyBorder="1"/>
    <xf numFmtId="0" fontId="7" fillId="0" borderId="25" xfId="0" applyFont="1" applyFill="1" applyBorder="1"/>
    <xf numFmtId="0" fontId="7" fillId="6" borderId="25" xfId="0" applyFont="1" applyFill="1" applyBorder="1"/>
    <xf numFmtId="0" fontId="7" fillId="6" borderId="25" xfId="0" applyFont="1" applyFill="1" applyBorder="1" applyAlignment="1">
      <alignment horizontal="center"/>
    </xf>
    <xf numFmtId="0" fontId="7" fillId="0" borderId="36" xfId="0" applyFont="1" applyFill="1" applyBorder="1"/>
    <xf numFmtId="166" fontId="48" fillId="0" borderId="11" xfId="0" applyNumberFormat="1" applyFont="1" applyFill="1" applyBorder="1" applyAlignment="1">
      <alignment horizontal="center" vertical="center"/>
    </xf>
    <xf numFmtId="166" fontId="48" fillId="0" borderId="21" xfId="0" applyNumberFormat="1" applyFont="1" applyFill="1" applyBorder="1" applyAlignment="1">
      <alignment horizontal="center" vertical="center"/>
    </xf>
    <xf numFmtId="0" fontId="49" fillId="0" borderId="11" xfId="0" applyFont="1" applyBorder="1"/>
    <xf numFmtId="0" fontId="49" fillId="0" borderId="21" xfId="0" applyFont="1" applyBorder="1"/>
    <xf numFmtId="0" fontId="7" fillId="10" borderId="0" xfId="0" applyFont="1" applyFill="1" applyBorder="1"/>
    <xf numFmtId="0" fontId="50" fillId="10" borderId="0" xfId="0" applyFont="1" applyFill="1" applyBorder="1" applyAlignment="1">
      <alignment vertical="center"/>
    </xf>
    <xf numFmtId="0" fontId="51" fillId="10" borderId="0" xfId="0" applyFont="1" applyFill="1" applyBorder="1"/>
    <xf numFmtId="0" fontId="51" fillId="10" borderId="0" xfId="0" applyFont="1" applyFill="1" applyBorder="1" applyAlignment="1">
      <alignment horizontal="center" vertical="center"/>
    </xf>
    <xf numFmtId="0" fontId="51" fillId="10" borderId="0" xfId="0" applyFont="1" applyFill="1" applyBorder="1" applyAlignment="1"/>
    <xf numFmtId="165" fontId="51" fillId="10" borderId="0" xfId="0" applyNumberFormat="1" applyFont="1" applyFill="1" applyBorder="1" applyAlignment="1"/>
    <xf numFmtId="0" fontId="51" fillId="10" borderId="0" xfId="0" applyFont="1" applyFill="1" applyBorder="1" applyAlignment="1">
      <alignment horizontal="center"/>
    </xf>
    <xf numFmtId="0" fontId="52" fillId="10" borderId="0" xfId="0" applyFont="1" applyFill="1" applyBorder="1" applyAlignment="1"/>
    <xf numFmtId="0" fontId="46" fillId="10" borderId="0" xfId="0" applyFont="1" applyFill="1" applyBorder="1" applyAlignment="1">
      <alignment horizontal="center"/>
    </xf>
    <xf numFmtId="0" fontId="46" fillId="10" borderId="0" xfId="0" applyFont="1" applyFill="1" applyBorder="1"/>
    <xf numFmtId="0" fontId="46" fillId="10" borderId="0" xfId="0" applyFont="1" applyFill="1" applyBorder="1" applyAlignment="1">
      <alignment horizontal="center" vertical="center"/>
    </xf>
    <xf numFmtId="0" fontId="7" fillId="10" borderId="0" xfId="0" applyFont="1" applyFill="1" applyBorder="1" applyAlignment="1">
      <alignment horizontal="center" vertical="center"/>
    </xf>
    <xf numFmtId="0" fontId="30" fillId="0" borderId="0" xfId="0" applyFont="1" applyFill="1" applyBorder="1" applyAlignment="1">
      <alignment horizontal="center" vertical="center"/>
    </xf>
    <xf numFmtId="0" fontId="37" fillId="8" borderId="13" xfId="5" applyFont="1" applyBorder="1" applyAlignment="1" applyProtection="1">
      <alignment horizontal="center" vertical="center"/>
      <protection locked="0"/>
    </xf>
    <xf numFmtId="0" fontId="34" fillId="8" borderId="3" xfId="5" applyBorder="1" applyProtection="1">
      <protection locked="0"/>
    </xf>
    <xf numFmtId="0" fontId="54" fillId="11" borderId="0" xfId="6" applyFont="1" applyBorder="1"/>
    <xf numFmtId="0" fontId="54" fillId="11" borderId="0" xfId="6" applyFont="1" applyBorder="1" applyAlignment="1">
      <alignment horizontal="center"/>
    </xf>
    <xf numFmtId="0" fontId="54" fillId="11" borderId="25" xfId="6" applyFont="1" applyBorder="1"/>
    <xf numFmtId="0" fontId="19" fillId="6" borderId="0" xfId="3" applyFill="1"/>
    <xf numFmtId="0" fontId="22" fillId="0" borderId="19" xfId="0" applyFont="1" applyBorder="1" applyAlignment="1">
      <alignment vertical="center" wrapText="1"/>
    </xf>
    <xf numFmtId="0" fontId="22" fillId="0" borderId="29" xfId="0" applyFont="1" applyBorder="1" applyAlignment="1">
      <alignment vertical="center" wrapText="1"/>
    </xf>
    <xf numFmtId="0" fontId="22" fillId="0" borderId="18" xfId="0" applyFont="1" applyBorder="1" applyAlignment="1">
      <alignment vertical="center" wrapText="1"/>
    </xf>
    <xf numFmtId="0" fontId="0" fillId="0" borderId="0" xfId="0" applyFill="1" applyBorder="1" applyAlignment="1">
      <alignment vertical="top" wrapText="1"/>
    </xf>
    <xf numFmtId="0" fontId="28" fillId="5" borderId="0" xfId="0" applyFont="1" applyFill="1" applyBorder="1" applyAlignment="1">
      <alignment horizontal="center" vertical="center"/>
    </xf>
  </cellXfs>
  <cellStyles count="7">
    <cellStyle name="60% - Accent3" xfId="6" builtinId="40"/>
    <cellStyle name="Accent4" xfId="5" builtinId="41"/>
    <cellStyle name="Good" xfId="1" builtinId="26"/>
    <cellStyle name="Hyperlink" xfId="3" builtinId="8"/>
    <cellStyle name="Normal" xfId="0" builtinId="0"/>
    <cellStyle name="Note" xfId="4" builtinId="10"/>
    <cellStyle name="Output" xfId="2" builtinId="21"/>
  </cellStyles>
  <dxfs count="164">
    <dxf>
      <font>
        <b val="0"/>
        <i val="0"/>
        <strike val="0"/>
        <condense val="0"/>
        <extend val="0"/>
        <outline val="0"/>
        <shadow val="0"/>
        <u val="none"/>
        <vertAlign val="baseline"/>
        <sz val="9"/>
        <color rgb="FF000000"/>
        <name val="Times New Roman"/>
        <scheme val="none"/>
      </font>
      <fill>
        <patternFill patternType="solid">
          <fgColor indexed="64"/>
          <bgColor rgb="FFFFFFFF"/>
        </patternFill>
      </fill>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9"/>
        <color rgb="FF000000"/>
        <name val="Times New Roman"/>
        <scheme val="none"/>
      </font>
      <fill>
        <patternFill patternType="solid">
          <fgColor indexed="64"/>
          <bgColor rgb="FFFFFFFF"/>
        </patternFill>
      </fill>
      <alignment horizontal="center" vertical="center" textRotation="0" wrapText="0" indent="0" justifyLastLine="0" shrinkToFit="0" readingOrder="0"/>
      <border diagonalUp="0" diagonalDown="0">
        <left style="medium">
          <color indexed="64"/>
        </left>
        <right style="medium">
          <color indexed="64"/>
        </right>
        <top/>
        <bottom style="medium">
          <color indexed="64"/>
        </bottom>
        <vertical/>
        <horizontal/>
      </border>
    </dxf>
    <dxf>
      <font>
        <b val="0"/>
        <i val="0"/>
        <strike val="0"/>
        <condense val="0"/>
        <extend val="0"/>
        <outline val="0"/>
        <shadow val="0"/>
        <u val="none"/>
        <vertAlign val="baseline"/>
        <sz val="9"/>
        <color rgb="FF000000"/>
        <name val="Times New Roman"/>
        <scheme val="none"/>
      </font>
      <alignment horizontal="center" vertical="center" textRotation="0" wrapText="0" indent="0" justifyLastLine="0" shrinkToFit="0" readingOrder="0"/>
      <border diagonalUp="0" diagonalDown="0" outline="0">
        <left style="medium">
          <color indexed="64"/>
        </left>
        <right style="medium">
          <color indexed="64"/>
        </right>
        <top/>
        <bottom/>
      </border>
    </dxf>
    <dxf>
      <fill>
        <patternFill patternType="solid">
          <fgColor indexed="64"/>
          <bgColor rgb="FFFFFFFF"/>
        </patternFill>
      </fill>
      <alignment horizontal="general" vertical="center" textRotation="0" wrapText="0" indent="0" justifyLastLine="0" shrinkToFit="0" readingOrder="0"/>
    </dxf>
    <dxf>
      <font>
        <b val="0"/>
        <i val="0"/>
        <strike val="0"/>
        <condense val="0"/>
        <extend val="0"/>
        <outline val="0"/>
        <shadow val="0"/>
        <u val="none"/>
        <vertAlign val="baseline"/>
        <sz val="9"/>
        <color rgb="FF000000"/>
        <name val="Times New Roman"/>
        <scheme val="none"/>
      </font>
      <fill>
        <patternFill patternType="solid">
          <fgColor indexed="64"/>
          <bgColor rgb="FFFFFFFF"/>
        </patternFill>
      </fill>
      <alignment horizontal="general" vertical="center" textRotation="0" wrapText="1" indent="0" justifyLastLine="0" shrinkToFit="0" readingOrder="0"/>
    </dxf>
    <dxf>
      <font>
        <b val="0"/>
        <i val="0"/>
        <strike val="0"/>
        <condense val="0"/>
        <extend val="0"/>
        <outline val="0"/>
        <shadow val="0"/>
        <u val="none"/>
        <vertAlign val="baseline"/>
        <sz val="9"/>
        <color rgb="FF000000"/>
        <name val="Times New Roman"/>
        <scheme val="none"/>
      </font>
      <fill>
        <patternFill patternType="solid">
          <fgColor indexed="64"/>
          <bgColor rgb="FFFFFFFF"/>
        </patternFill>
      </fill>
      <alignment horizontal="center" vertical="center" textRotation="0" wrapText="0" indent="0" justifyLastLine="0" shrinkToFit="0" readingOrder="0"/>
    </dxf>
    <dxf>
      <font>
        <b val="0"/>
        <i val="0"/>
        <strike val="0"/>
        <condense val="0"/>
        <extend val="0"/>
        <outline val="0"/>
        <shadow val="0"/>
        <u val="none"/>
        <vertAlign val="baseline"/>
        <sz val="9"/>
        <color rgb="FF000000"/>
        <name val="Times New Roman"/>
        <scheme val="none"/>
      </font>
      <alignment horizontal="center" vertical="center" textRotation="0" wrapText="0" indent="0" justifyLastLine="0" shrinkToFit="0" readingOrder="0"/>
      <border diagonalUp="0" diagonalDown="0">
        <left style="thin">
          <color indexed="64"/>
        </left>
        <right style="thin">
          <color indexed="64"/>
        </right>
        <top/>
        <bottom/>
        <vertical style="thin">
          <color indexed="64"/>
        </vertical>
        <horizontal style="thin">
          <color indexed="64"/>
        </horizontal>
      </border>
    </dxf>
    <dxf>
      <font>
        <b val="0"/>
        <i val="0"/>
        <strike val="0"/>
        <condense val="0"/>
        <extend val="0"/>
        <outline val="0"/>
        <shadow val="0"/>
        <u val="none"/>
        <vertAlign val="baseline"/>
        <sz val="7"/>
        <color rgb="FF000000"/>
        <name val="Times New Roman"/>
        <scheme val="none"/>
      </font>
      <fill>
        <patternFill patternType="solid">
          <fgColor indexed="64"/>
          <bgColor rgb="FFFFFFFF"/>
        </patternFill>
      </fill>
      <alignment horizontal="center" vertical="center" textRotation="0" wrapText="0" indent="0" justifyLastLine="0" shrinkToFit="0" readingOrder="0"/>
    </dxf>
    <dxf>
      <font>
        <b val="0"/>
        <i val="0"/>
        <strike val="0"/>
        <condense val="0"/>
        <extend val="0"/>
        <outline val="0"/>
        <shadow val="0"/>
        <u val="none"/>
        <vertAlign val="baseline"/>
        <sz val="7"/>
        <color rgb="FF000000"/>
        <name val="Times New Roman"/>
        <scheme val="none"/>
      </font>
      <fill>
        <patternFill patternType="solid">
          <fgColor indexed="64"/>
          <bgColor rgb="FFFFFFFF"/>
        </patternFill>
      </fill>
      <alignment horizontal="center" vertical="center" textRotation="0" wrapText="0" indent="0" justifyLastLine="0" shrinkToFit="0" readingOrder="0"/>
    </dxf>
    <dxf>
      <font>
        <b val="0"/>
        <i val="0"/>
        <strike val="0"/>
        <condense val="0"/>
        <extend val="0"/>
        <outline val="0"/>
        <shadow val="0"/>
        <u val="none"/>
        <vertAlign val="baseline"/>
        <sz val="7"/>
        <color rgb="FF000000"/>
        <name val="Times New Roman"/>
        <scheme val="none"/>
      </font>
      <fill>
        <patternFill patternType="solid">
          <fgColor indexed="64"/>
          <bgColor rgb="FFFFFFFF"/>
        </patternFill>
      </fill>
      <alignment horizontal="center" vertical="center" textRotation="0" wrapText="0" indent="0" justifyLastLine="0" shrinkToFit="0" readingOrder="0"/>
    </dxf>
    <dxf>
      <font>
        <b val="0"/>
        <i val="0"/>
        <strike val="0"/>
        <condense val="0"/>
        <extend val="0"/>
        <outline val="0"/>
        <shadow val="0"/>
        <u val="none"/>
        <vertAlign val="baseline"/>
        <sz val="7"/>
        <color rgb="FF000000"/>
        <name val="Times New Roman"/>
        <scheme val="none"/>
      </font>
      <fill>
        <patternFill patternType="solid">
          <fgColor indexed="64"/>
          <bgColor rgb="FFFFFFFF"/>
        </patternFill>
      </fill>
      <alignment horizontal="center" vertical="center" textRotation="0" wrapText="0" indent="0" justifyLastLine="0" shrinkToFit="0" readingOrder="0"/>
    </dxf>
    <dxf>
      <font>
        <b val="0"/>
        <i val="0"/>
        <strike val="0"/>
        <condense val="0"/>
        <extend val="0"/>
        <outline val="0"/>
        <shadow val="0"/>
        <u val="none"/>
        <vertAlign val="baseline"/>
        <sz val="7"/>
        <color rgb="FF000000"/>
        <name val="Times New Roman"/>
        <scheme val="none"/>
      </font>
      <fill>
        <patternFill patternType="solid">
          <fgColor indexed="64"/>
          <bgColor rgb="FFFFFFFF"/>
        </patternFill>
      </fill>
      <alignment horizontal="center" vertical="center" textRotation="0" wrapText="0" indent="0" justifyLastLine="0" shrinkToFit="0" readingOrder="0"/>
    </dxf>
    <dxf>
      <font>
        <b val="0"/>
        <i val="0"/>
        <strike val="0"/>
        <condense val="0"/>
        <extend val="0"/>
        <outline val="0"/>
        <shadow val="0"/>
        <u val="none"/>
        <vertAlign val="baseline"/>
        <sz val="7"/>
        <color rgb="FF000000"/>
        <name val="Times New Roman"/>
        <scheme val="none"/>
      </font>
      <fill>
        <patternFill patternType="solid">
          <fgColor indexed="64"/>
          <bgColor rgb="FFFFFFFF"/>
        </patternFill>
      </fill>
      <alignment horizontal="center" vertical="center" textRotation="0" wrapText="0" indent="0" justifyLastLine="0" shrinkToFit="0" readingOrder="0"/>
    </dxf>
    <dxf>
      <font>
        <b val="0"/>
        <i val="0"/>
        <strike val="0"/>
        <condense val="0"/>
        <extend val="0"/>
        <outline val="0"/>
        <shadow val="0"/>
        <u val="none"/>
        <vertAlign val="baseline"/>
        <sz val="7"/>
        <color rgb="FF000000"/>
        <name val="Times New Roman"/>
        <scheme val="none"/>
      </font>
      <fill>
        <patternFill patternType="solid">
          <fgColor indexed="64"/>
          <bgColor rgb="FFFFFFFF"/>
        </patternFill>
      </fill>
      <alignment horizontal="center" vertical="center" textRotation="0" wrapText="0" indent="0" justifyLastLine="0" shrinkToFit="0" readingOrder="0"/>
    </dxf>
    <dxf>
      <font>
        <b val="0"/>
        <i val="0"/>
        <strike val="0"/>
        <condense val="0"/>
        <extend val="0"/>
        <outline val="0"/>
        <shadow val="0"/>
        <u val="none"/>
        <vertAlign val="baseline"/>
        <sz val="7"/>
        <color rgb="FF000000"/>
        <name val="Times New Roman"/>
        <scheme val="none"/>
      </font>
      <fill>
        <patternFill patternType="solid">
          <fgColor indexed="64"/>
          <bgColor rgb="FFFFFFFF"/>
        </patternFill>
      </fill>
      <alignment horizontal="center" vertical="center" textRotation="0" wrapText="0" indent="0" justifyLastLine="0" shrinkToFit="0" readingOrder="0"/>
    </dxf>
    <dxf>
      <font>
        <b val="0"/>
        <i val="0"/>
        <strike val="0"/>
        <condense val="0"/>
        <extend val="0"/>
        <outline val="0"/>
        <shadow val="0"/>
        <u val="none"/>
        <vertAlign val="baseline"/>
        <sz val="7"/>
        <color rgb="FF000000"/>
        <name val="Times New Roman"/>
        <scheme val="none"/>
      </font>
      <fill>
        <patternFill patternType="solid">
          <fgColor indexed="64"/>
          <bgColor rgb="FFFFFFFF"/>
        </patternFill>
      </fill>
      <alignment horizontal="center" vertical="center" textRotation="0" wrapText="0" indent="0" justifyLastLine="0" shrinkToFit="0" readingOrder="0"/>
    </dxf>
    <dxf>
      <font>
        <b val="0"/>
        <i val="0"/>
        <strike val="0"/>
        <condense val="0"/>
        <extend val="0"/>
        <outline val="0"/>
        <shadow val="0"/>
        <u val="none"/>
        <vertAlign val="baseline"/>
        <sz val="7"/>
        <color rgb="FF000000"/>
        <name val="Times New Roman"/>
        <scheme val="none"/>
      </font>
      <fill>
        <patternFill patternType="solid">
          <fgColor indexed="64"/>
          <bgColor rgb="FFFFFFFF"/>
        </patternFill>
      </fill>
      <alignment horizontal="center" vertical="center" textRotation="0" wrapText="0" indent="0" justifyLastLine="0" shrinkToFit="0" readingOrder="0"/>
    </dxf>
    <dxf>
      <font>
        <b val="0"/>
        <i val="0"/>
        <strike val="0"/>
        <condense val="0"/>
        <extend val="0"/>
        <outline val="0"/>
        <shadow val="0"/>
        <u val="none"/>
        <vertAlign val="baseline"/>
        <sz val="7"/>
        <color rgb="FF000000"/>
        <name val="Times New Roman"/>
        <scheme val="none"/>
      </font>
      <fill>
        <patternFill patternType="solid">
          <fgColor indexed="64"/>
          <bgColor rgb="FFFFFFFF"/>
        </patternFill>
      </fill>
      <alignment horizontal="center" vertical="center" textRotation="0" wrapText="0" indent="0" justifyLastLine="0" shrinkToFit="0" readingOrder="0"/>
    </dxf>
    <dxf>
      <font>
        <b val="0"/>
        <i val="0"/>
        <strike val="0"/>
        <condense val="0"/>
        <extend val="0"/>
        <outline val="0"/>
        <shadow val="0"/>
        <u val="none"/>
        <vertAlign val="baseline"/>
        <sz val="7"/>
        <color rgb="FF000000"/>
        <name val="Times New Roman"/>
        <scheme val="none"/>
      </font>
      <fill>
        <patternFill patternType="solid">
          <fgColor indexed="64"/>
          <bgColor rgb="FFFFFFFF"/>
        </patternFill>
      </fill>
      <alignment horizontal="center" vertical="center" textRotation="0" wrapText="0" indent="0" justifyLastLine="0" shrinkToFit="0" readingOrder="0"/>
    </dxf>
    <dxf>
      <font>
        <b val="0"/>
        <i val="0"/>
        <strike val="0"/>
        <condense val="0"/>
        <extend val="0"/>
        <outline val="0"/>
        <shadow val="0"/>
        <u val="none"/>
        <vertAlign val="baseline"/>
        <sz val="7"/>
        <color rgb="FF000000"/>
        <name val="Times New Roman"/>
        <scheme val="none"/>
      </font>
      <fill>
        <patternFill patternType="solid">
          <fgColor indexed="64"/>
          <bgColor rgb="FFFFFFFF"/>
        </patternFill>
      </fill>
      <alignment horizontal="center" vertical="center" textRotation="0" wrapText="0" indent="0" justifyLastLine="0" shrinkToFit="0" readingOrder="0"/>
    </dxf>
    <dxf>
      <font>
        <b val="0"/>
        <i val="0"/>
        <strike val="0"/>
        <condense val="0"/>
        <extend val="0"/>
        <outline val="0"/>
        <shadow val="0"/>
        <u val="none"/>
        <vertAlign val="baseline"/>
        <sz val="7"/>
        <color rgb="FF000000"/>
        <name val="Times New Roman"/>
        <scheme val="none"/>
      </font>
      <fill>
        <patternFill patternType="solid">
          <fgColor indexed="64"/>
          <bgColor rgb="FFFFFFFF"/>
        </patternFill>
      </fill>
      <alignment horizontal="center" vertical="center" textRotation="0" wrapText="0" indent="0" justifyLastLine="0" shrinkToFit="0" readingOrder="0"/>
    </dxf>
    <dxf>
      <font>
        <b val="0"/>
        <i val="0"/>
        <strike val="0"/>
        <condense val="0"/>
        <extend val="0"/>
        <outline val="0"/>
        <shadow val="0"/>
        <u val="none"/>
        <vertAlign val="baseline"/>
        <sz val="7"/>
        <color rgb="FF000000"/>
        <name val="Times New Roman"/>
        <scheme val="none"/>
      </font>
      <fill>
        <patternFill patternType="solid">
          <fgColor indexed="64"/>
          <bgColor rgb="FFFFFFFF"/>
        </patternFill>
      </fill>
      <alignment horizontal="center" vertical="center" textRotation="0" wrapText="0" indent="0" justifyLastLine="0" shrinkToFit="0" readingOrder="0"/>
    </dxf>
    <dxf>
      <font>
        <b val="0"/>
        <i val="0"/>
        <strike val="0"/>
        <condense val="0"/>
        <extend val="0"/>
        <outline val="0"/>
        <shadow val="0"/>
        <u val="none"/>
        <vertAlign val="baseline"/>
        <sz val="7"/>
        <color rgb="FF000000"/>
        <name val="Times New Roman"/>
        <scheme val="none"/>
      </font>
      <fill>
        <patternFill patternType="solid">
          <fgColor indexed="64"/>
          <bgColor rgb="FFFFFFFF"/>
        </patternFill>
      </fill>
      <alignment horizontal="center" vertical="center" textRotation="0" wrapText="0" indent="0" justifyLastLine="0" shrinkToFit="0" readingOrder="0"/>
    </dxf>
    <dxf>
      <font>
        <b val="0"/>
        <i val="0"/>
        <strike val="0"/>
        <condense val="0"/>
        <extend val="0"/>
        <outline val="0"/>
        <shadow val="0"/>
        <u val="none"/>
        <vertAlign val="baseline"/>
        <sz val="7"/>
        <color rgb="FF000000"/>
        <name val="Times New Roman"/>
        <scheme val="none"/>
      </font>
      <fill>
        <patternFill patternType="solid">
          <fgColor indexed="64"/>
          <bgColor rgb="FFFFFFFF"/>
        </patternFill>
      </fill>
      <alignment horizontal="center" vertical="center" textRotation="0" wrapText="0" indent="0" justifyLastLine="0" shrinkToFit="0" readingOrder="0"/>
    </dxf>
    <dxf>
      <font>
        <b val="0"/>
        <i val="0"/>
        <strike val="0"/>
        <condense val="0"/>
        <extend val="0"/>
        <outline val="0"/>
        <shadow val="0"/>
        <u val="none"/>
        <vertAlign val="baseline"/>
        <sz val="7"/>
        <color rgb="FF000000"/>
        <name val="Times New Roman"/>
        <scheme val="none"/>
      </font>
      <fill>
        <patternFill patternType="solid">
          <fgColor indexed="64"/>
          <bgColor rgb="FFFFFFFF"/>
        </patternFill>
      </fill>
      <alignment horizontal="center" vertical="center" textRotation="0" wrapText="0" indent="0" justifyLastLine="0" shrinkToFit="0" readingOrder="0"/>
    </dxf>
    <dxf>
      <font>
        <b val="0"/>
        <i val="0"/>
        <strike val="0"/>
        <condense val="0"/>
        <extend val="0"/>
        <outline val="0"/>
        <shadow val="0"/>
        <u val="none"/>
        <vertAlign val="baseline"/>
        <sz val="7"/>
        <color rgb="FF000000"/>
        <name val="Times New Roman"/>
        <scheme val="none"/>
      </font>
      <fill>
        <patternFill patternType="solid">
          <fgColor indexed="64"/>
          <bgColor rgb="FFFFFFFF"/>
        </patternFill>
      </fill>
      <alignment horizontal="center" vertical="center" textRotation="0" wrapText="0" indent="0" justifyLastLine="0" shrinkToFit="0" readingOrder="0"/>
    </dxf>
    <dxf>
      <font>
        <b val="0"/>
        <i val="0"/>
        <strike val="0"/>
        <condense val="0"/>
        <extend val="0"/>
        <outline val="0"/>
        <shadow val="0"/>
        <u val="none"/>
        <vertAlign val="baseline"/>
        <sz val="7"/>
        <color rgb="FF000000"/>
        <name val="Times New Roman"/>
        <scheme val="none"/>
      </font>
      <fill>
        <patternFill patternType="solid">
          <fgColor indexed="64"/>
          <bgColor rgb="FFFFFFFF"/>
        </patternFill>
      </fill>
      <alignment horizontal="center" vertical="center" textRotation="0" wrapText="0" indent="0" justifyLastLine="0" shrinkToFit="0" readingOrder="0"/>
    </dxf>
    <dxf>
      <font>
        <b val="0"/>
        <i val="0"/>
        <strike val="0"/>
        <condense val="0"/>
        <extend val="0"/>
        <outline val="0"/>
        <shadow val="0"/>
        <u val="none"/>
        <vertAlign val="baseline"/>
        <sz val="9"/>
        <color rgb="FF000000"/>
        <name val="Times New Roman"/>
        <scheme val="none"/>
      </font>
      <fill>
        <patternFill patternType="solid">
          <fgColor indexed="64"/>
          <bgColor rgb="FFFFFFFF"/>
        </patternFill>
      </fill>
      <alignment horizontal="general" vertical="center" textRotation="0" wrapText="1" indent="0" justifyLastLine="0" shrinkToFit="0" readingOrder="0"/>
    </dxf>
    <dxf>
      <font>
        <b val="0"/>
        <i val="0"/>
        <strike val="0"/>
        <condense val="0"/>
        <extend val="0"/>
        <outline val="0"/>
        <shadow val="0"/>
        <u val="none"/>
        <vertAlign val="baseline"/>
        <sz val="9"/>
        <color rgb="FF000000"/>
        <name val="Times New Roman"/>
        <scheme val="none"/>
      </font>
      <fill>
        <patternFill patternType="solid">
          <fgColor indexed="64"/>
          <bgColor rgb="FFFFFFFF"/>
        </patternFill>
      </fill>
      <alignment horizontal="center" vertical="center" textRotation="0" wrapText="0" indent="0" justifyLastLine="0" shrinkToFit="0" readingOrder="0"/>
    </dxf>
    <dxf>
      <font>
        <b val="0"/>
        <i val="0"/>
        <strike val="0"/>
        <condense val="0"/>
        <extend val="0"/>
        <outline val="0"/>
        <shadow val="0"/>
        <u val="none"/>
        <vertAlign val="baseline"/>
        <sz val="7"/>
        <color rgb="FF000000"/>
        <name val="Times New Roman"/>
        <scheme val="none"/>
      </font>
      <fill>
        <patternFill patternType="solid">
          <fgColor indexed="64"/>
          <bgColor rgb="FFFFFFFF"/>
        </patternFill>
      </fill>
      <alignment horizontal="center" vertical="center" textRotation="0" wrapText="0" indent="0" justifyLastLine="0" shrinkToFit="0" readingOrder="0"/>
    </dxf>
    <dxf>
      <font>
        <b val="0"/>
        <i val="0"/>
        <strike val="0"/>
        <condense val="0"/>
        <extend val="0"/>
        <outline val="0"/>
        <shadow val="0"/>
        <u val="none"/>
        <vertAlign val="baseline"/>
        <sz val="9"/>
        <color rgb="FF000000"/>
        <name val="Times New Roman"/>
        <scheme val="none"/>
      </font>
      <alignment horizontal="center" vertical="center" textRotation="0" wrapText="0" indent="0" justifyLastLine="0" shrinkToFit="0" readingOrder="0"/>
    </dxf>
    <dxf>
      <fill>
        <patternFill patternType="solid">
          <fgColor indexed="64"/>
          <bgColor rgb="FFFFFFFF"/>
        </patternFill>
      </fill>
      <alignment horizontal="general" vertical="center" textRotation="0" wrapText="0" indent="0" justifyLastLine="0" shrinkToFit="0" readingOrder="0"/>
    </dxf>
    <dxf>
      <fill>
        <patternFill patternType="solid">
          <fgColor indexed="64"/>
          <bgColor rgb="FFFFFFFF"/>
        </patternFill>
      </fill>
      <alignment horizontal="general" vertical="center" textRotation="0" wrapText="0" indent="0" justifyLastLine="0" shrinkToFit="0" readingOrder="0"/>
    </dxf>
    <dxf>
      <font>
        <b val="0"/>
        <i val="0"/>
        <strike val="0"/>
        <condense val="0"/>
        <extend val="0"/>
        <outline val="0"/>
        <shadow val="0"/>
        <u val="none"/>
        <vertAlign val="baseline"/>
        <sz val="9"/>
        <color rgb="FF000000"/>
        <name val="Times New Roman"/>
        <scheme val="none"/>
      </font>
      <fill>
        <patternFill patternType="solid">
          <fgColor indexed="64"/>
          <bgColor rgb="FFFFFFFF"/>
        </patternFill>
      </fill>
      <alignment horizontal="general" vertical="center" textRotation="0" wrapText="1" indent="0" justifyLastLine="0" shrinkToFit="0" readingOrder="0"/>
    </dxf>
    <dxf>
      <font>
        <b val="0"/>
        <i val="0"/>
        <strike val="0"/>
        <condense val="0"/>
        <extend val="0"/>
        <outline val="0"/>
        <shadow val="0"/>
        <u val="none"/>
        <vertAlign val="baseline"/>
        <sz val="9"/>
        <color rgb="FF000000"/>
        <name val="Times New Roman"/>
        <scheme val="none"/>
      </font>
      <fill>
        <patternFill patternType="solid">
          <fgColor indexed="64"/>
          <bgColor rgb="FFFFFFFF"/>
        </patternFill>
      </fill>
      <alignment horizontal="center" vertical="center" textRotation="0" wrapText="0" indent="0" justifyLastLine="0" shrinkToFit="0" readingOrder="0"/>
    </dxf>
    <dxf>
      <font>
        <b val="0"/>
        <i val="0"/>
        <strike val="0"/>
        <condense val="0"/>
        <extend val="0"/>
        <outline val="0"/>
        <shadow val="0"/>
        <u val="none"/>
        <vertAlign val="baseline"/>
        <sz val="9"/>
        <color rgb="FF000000"/>
        <name val="Times New Roman"/>
        <scheme val="none"/>
      </font>
      <alignment horizontal="center" vertical="center" textRotation="0" wrapText="0" indent="0" justifyLastLine="0" shrinkToFit="0" readingOrder="0"/>
    </dxf>
    <dxf>
      <fill>
        <patternFill patternType="solid">
          <fgColor indexed="64"/>
          <bgColor rgb="FFFFFFFF"/>
        </patternFill>
      </fill>
      <alignment horizontal="general" vertical="center" textRotation="0" wrapText="0" indent="0" justifyLastLine="0" shrinkToFit="0" readingOrder="0"/>
    </dxf>
    <dxf>
      <fill>
        <patternFill patternType="solid">
          <fgColor indexed="64"/>
          <bgColor rgb="FFFFFFFF"/>
        </patternFill>
      </fill>
      <alignment horizontal="general" vertical="center" textRotation="0" wrapText="0" indent="0" justifyLastLine="0" shrinkToFit="0" readingOrder="0"/>
    </dxf>
    <dxf>
      <fill>
        <patternFill patternType="solid">
          <fgColor indexed="64"/>
          <bgColor rgb="FFFFFFFF"/>
        </patternFill>
      </fill>
      <alignment horizontal="general" vertical="center" textRotation="0" wrapText="0" indent="0" justifyLastLine="0" shrinkToFit="0" readingOrder="0"/>
    </dxf>
    <dxf>
      <fill>
        <patternFill patternType="solid">
          <fgColor indexed="64"/>
          <bgColor rgb="FFFFFFFF"/>
        </patternFill>
      </fill>
      <alignment horizontal="general" vertical="center" textRotation="0" wrapText="0" indent="0" justifyLastLine="0" shrinkToFit="0" readingOrder="0"/>
    </dxf>
    <dxf>
      <fill>
        <patternFill patternType="solid">
          <fgColor indexed="64"/>
          <bgColor rgb="FFFFFFFF"/>
        </patternFill>
      </fill>
      <alignment horizontal="general" vertical="center" textRotation="0" wrapText="0" indent="0" justifyLastLine="0" shrinkToFit="0" readingOrder="0"/>
    </dxf>
    <dxf>
      <fill>
        <patternFill patternType="solid">
          <fgColor indexed="64"/>
          <bgColor rgb="FFFFFFFF"/>
        </patternFill>
      </fill>
      <alignment horizontal="general" vertical="center" textRotation="0" wrapText="0" indent="0" justifyLastLine="0" shrinkToFit="0" readingOrder="0"/>
    </dxf>
    <dxf>
      <fill>
        <patternFill patternType="solid">
          <fgColor indexed="64"/>
          <bgColor rgb="FFFFFFFF"/>
        </patternFill>
      </fill>
      <alignment horizontal="general" vertical="center" textRotation="0" wrapText="0" indent="0" justifyLastLine="0" shrinkToFit="0" readingOrder="0"/>
    </dxf>
    <dxf>
      <fill>
        <patternFill patternType="solid">
          <fgColor indexed="64"/>
          <bgColor rgb="FFFFFFFF"/>
        </patternFill>
      </fill>
      <alignment horizontal="general" vertical="center" textRotation="0" wrapText="0" indent="0" justifyLastLine="0" shrinkToFit="0" readingOrder="0"/>
    </dxf>
    <dxf>
      <fill>
        <patternFill patternType="solid">
          <fgColor indexed="64"/>
          <bgColor rgb="FFFFFFFF"/>
        </patternFill>
      </fill>
      <alignment horizontal="general" vertical="center" textRotation="0" wrapText="0" indent="0" justifyLastLine="0" shrinkToFit="0" readingOrder="0"/>
    </dxf>
    <dxf>
      <fill>
        <patternFill patternType="solid">
          <fgColor indexed="64"/>
          <bgColor rgb="FFFFFFFF"/>
        </patternFill>
      </fill>
      <alignment horizontal="general" vertical="center" textRotation="0" wrapText="0" indent="0" justifyLastLine="0" shrinkToFit="0" readingOrder="0"/>
    </dxf>
    <dxf>
      <fill>
        <patternFill patternType="solid">
          <fgColor indexed="64"/>
          <bgColor rgb="FFFFFFFF"/>
        </patternFill>
      </fill>
      <alignment horizontal="general" vertical="center" textRotation="0" wrapText="0" indent="0" justifyLastLine="0" shrinkToFit="0" readingOrder="0"/>
    </dxf>
    <dxf>
      <fill>
        <patternFill patternType="solid">
          <fgColor indexed="64"/>
          <bgColor rgb="FFFFFFFF"/>
        </patternFill>
      </fill>
      <alignment horizontal="general" vertical="center" textRotation="0" wrapText="0" indent="0" justifyLastLine="0" shrinkToFit="0" readingOrder="0"/>
    </dxf>
    <dxf>
      <fill>
        <patternFill patternType="solid">
          <fgColor indexed="64"/>
          <bgColor rgb="FFFFFFFF"/>
        </patternFill>
      </fill>
      <alignment horizontal="general" vertical="center" textRotation="0" wrapText="0" indent="0" justifyLastLine="0" shrinkToFit="0" readingOrder="0"/>
    </dxf>
    <dxf>
      <font>
        <b val="0"/>
        <i val="0"/>
        <strike val="0"/>
        <condense val="0"/>
        <extend val="0"/>
        <outline val="0"/>
        <shadow val="0"/>
        <u val="none"/>
        <vertAlign val="baseline"/>
        <sz val="7"/>
        <color rgb="FF000000"/>
        <name val="Times New Roman"/>
        <scheme val="none"/>
      </font>
      <fill>
        <patternFill patternType="solid">
          <fgColor indexed="64"/>
          <bgColor rgb="FFFFFFFF"/>
        </patternFill>
      </fill>
      <alignment horizontal="center" vertical="center" textRotation="0" wrapText="0" indent="0" justifyLastLine="0" shrinkToFit="0" readingOrder="0"/>
    </dxf>
    <dxf>
      <fill>
        <patternFill patternType="solid">
          <fgColor indexed="64"/>
          <bgColor rgb="FFFFFFFF"/>
        </patternFill>
      </fill>
      <alignment horizontal="general" vertical="center" textRotation="0" wrapText="0" indent="0" justifyLastLine="0" shrinkToFit="0" readingOrder="0"/>
    </dxf>
    <dxf>
      <fill>
        <patternFill patternType="solid">
          <fgColor indexed="64"/>
          <bgColor rgb="FFFFFFFF"/>
        </patternFill>
      </fill>
      <alignment horizontal="general" vertical="center" textRotation="0" wrapText="0" indent="0" justifyLastLine="0" shrinkToFit="0" readingOrder="0"/>
    </dxf>
    <dxf>
      <fill>
        <patternFill patternType="solid">
          <fgColor indexed="64"/>
          <bgColor rgb="FFFFFFFF"/>
        </patternFill>
      </fill>
      <alignment horizontal="general" vertical="center" textRotation="0" wrapText="0" indent="0" justifyLastLine="0" shrinkToFit="0" readingOrder="0"/>
    </dxf>
    <dxf>
      <fill>
        <patternFill patternType="solid">
          <fgColor indexed="64"/>
          <bgColor rgb="FFFFFFFF"/>
        </patternFill>
      </fill>
      <alignment horizontal="general" vertical="center" textRotation="0" wrapText="0" indent="0" justifyLastLine="0" shrinkToFit="0" readingOrder="0"/>
    </dxf>
    <dxf>
      <fill>
        <patternFill patternType="solid">
          <fgColor indexed="64"/>
          <bgColor rgb="FFFFFFFF"/>
        </patternFill>
      </fill>
      <alignment horizontal="general" vertical="center" textRotation="0" wrapText="0" indent="0" justifyLastLine="0" shrinkToFit="0" readingOrder="0"/>
    </dxf>
    <dxf>
      <fill>
        <patternFill patternType="solid">
          <fgColor indexed="64"/>
          <bgColor rgb="FFFFFFFF"/>
        </patternFill>
      </fill>
      <alignment horizontal="general" vertical="center" textRotation="0" wrapText="0" indent="0" justifyLastLine="0" shrinkToFit="0" readingOrder="0"/>
    </dxf>
    <dxf>
      <font>
        <b val="0"/>
        <i val="0"/>
        <strike val="0"/>
        <condense val="0"/>
        <extend val="0"/>
        <outline val="0"/>
        <shadow val="0"/>
        <u val="none"/>
        <vertAlign val="baseline"/>
        <sz val="9"/>
        <color rgb="FF000000"/>
        <name val="Times New Roman"/>
        <scheme val="none"/>
      </font>
      <fill>
        <patternFill patternType="solid">
          <fgColor indexed="64"/>
          <bgColor rgb="FFFFFFFF"/>
        </patternFill>
      </fill>
      <alignment horizontal="general" vertical="center" textRotation="0" wrapText="1" indent="0" justifyLastLine="0" shrinkToFit="0" readingOrder="0"/>
    </dxf>
    <dxf>
      <font>
        <b val="0"/>
        <i val="0"/>
        <strike val="0"/>
        <condense val="0"/>
        <extend val="0"/>
        <outline val="0"/>
        <shadow val="0"/>
        <u val="none"/>
        <vertAlign val="baseline"/>
        <sz val="9"/>
        <color rgb="FF000000"/>
        <name val="Times New Roman"/>
        <scheme val="none"/>
      </font>
      <fill>
        <patternFill patternType="solid">
          <fgColor indexed="64"/>
          <bgColor rgb="FFFFFFFF"/>
        </patternFill>
      </fill>
      <alignment horizontal="center" vertical="center" textRotation="0" wrapText="0" indent="0" justifyLastLine="0" shrinkToFit="0" readingOrder="0"/>
    </dxf>
    <dxf>
      <fill>
        <patternFill patternType="solid">
          <fgColor indexed="64"/>
          <bgColor rgb="FFFFFFFF"/>
        </patternFill>
      </fill>
      <alignment horizontal="general" vertical="center" textRotation="0" wrapText="0" indent="0" justifyLastLine="0" shrinkToFit="0" readingOrder="0"/>
    </dxf>
    <dxf>
      <font>
        <b val="0"/>
        <i val="0"/>
        <strike val="0"/>
        <condense val="0"/>
        <extend val="0"/>
        <outline val="0"/>
        <shadow val="0"/>
        <u val="none"/>
        <vertAlign val="baseline"/>
        <sz val="9"/>
        <color rgb="FF000000"/>
        <name val="Times New Roman"/>
        <scheme val="none"/>
      </font>
      <alignment horizontal="center" vertical="center" textRotation="0" wrapText="0" indent="0" justifyLastLine="0" shrinkToFit="0" readingOrder="0"/>
      <border diagonalUp="0" diagonalDown="0">
        <left style="thin">
          <color indexed="64"/>
        </left>
        <right style="thin">
          <color indexed="64"/>
        </right>
        <top/>
        <bottom/>
        <vertical style="thin">
          <color indexed="64"/>
        </vertical>
        <horizontal style="thin">
          <color indexed="64"/>
        </horizontal>
      </border>
    </dxf>
    <dxf>
      <font>
        <b val="0"/>
        <i val="0"/>
        <strike val="0"/>
        <condense val="0"/>
        <extend val="0"/>
        <outline val="0"/>
        <shadow val="0"/>
        <u val="none"/>
        <vertAlign val="baseline"/>
        <sz val="9"/>
        <color rgb="FF000000"/>
        <name val="Times New Roman"/>
        <scheme val="none"/>
      </font>
      <fill>
        <patternFill patternType="solid">
          <fgColor indexed="64"/>
          <bgColor rgb="FFFFFFFF"/>
        </patternFill>
      </fill>
      <alignment horizontal="center" vertical="center" textRotation="0" wrapText="0" indent="0" justifyLastLine="0" shrinkToFit="0" readingOrder="0"/>
    </dxf>
    <dxf>
      <border>
        <top style="thin">
          <color indexed="64"/>
        </top>
      </border>
    </dxf>
    <dxf>
      <border diagonalUp="0" diagonalDown="0">
        <left style="thin">
          <color indexed="64"/>
        </left>
        <right style="thin">
          <color indexed="64"/>
        </right>
        <top style="thin">
          <color indexed="64"/>
        </top>
        <bottom style="thin">
          <color indexed="64"/>
        </bottom>
      </border>
    </dxf>
    <dxf>
      <border>
        <bottom style="thin">
          <color indexed="64"/>
        </bottom>
      </border>
    </dxf>
    <dxf>
      <alignment horizontal="center" vertical="center" textRotation="0" wrapText="0" indent="0" justifyLastLine="0" shrinkToFit="0" readingOrder="0"/>
      <border diagonalUp="0" diagonalDown="0">
        <left style="thin">
          <color indexed="64"/>
        </left>
        <right style="thin">
          <color indexed="64"/>
        </right>
        <top/>
        <bottom/>
        <vertical style="thin">
          <color indexed="64"/>
        </vertical>
        <horizontal style="thin">
          <color indexed="64"/>
        </horizontal>
      </border>
    </dxf>
    <dxf>
      <font>
        <b/>
      </font>
    </dxf>
    <dxf>
      <alignment horizontal="general" vertical="center" textRotation="0" wrapText="0" indent="0" justifyLastLine="0" shrinkToFit="0" readingOrder="0"/>
      <border diagonalUp="0" diagonalDown="0">
        <left style="thin">
          <color indexed="64"/>
        </left>
        <right/>
        <top style="thin">
          <color indexed="64"/>
        </top>
        <bottom style="thin">
          <color indexed="64"/>
        </bottom>
        <vertical/>
        <horizontal/>
      </border>
    </dxf>
    <dxf>
      <alignment horizontal="general"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general"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general"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general"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general"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general"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general"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general"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general"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general"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general"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general"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general"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general"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general"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general"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general"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general"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9"/>
        <color rgb="FF000000"/>
        <name val="Times New Roman"/>
        <scheme val="none"/>
      </font>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9"/>
        <color rgb="FF000000"/>
        <name val="Times New Roman"/>
        <scheme val="none"/>
      </font>
      <alignment horizontal="center" vertical="center" textRotation="0" wrapText="0" indent="0" justifyLastLine="0" shrinkToFit="0" readingOrder="0"/>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alignment horizontal="general" vertical="center" textRotation="0" wrapText="0" indent="0" justifyLastLine="0" shrinkToFit="0" readingOrder="0"/>
    </dxf>
    <dxf>
      <border outline="0">
        <bottom style="thin">
          <color indexed="64"/>
        </bottom>
      </border>
    </dxf>
    <dxf>
      <font>
        <b val="0"/>
        <i val="0"/>
        <strike val="0"/>
        <condense val="0"/>
        <extend val="0"/>
        <outline val="0"/>
        <shadow val="0"/>
        <u val="none"/>
        <vertAlign val="baseline"/>
        <sz val="9"/>
        <color rgb="FF000000"/>
        <name val="Times New Roman"/>
        <scheme val="none"/>
      </font>
      <alignment horizontal="center" vertical="center" textRotation="0" wrapText="0"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7"/>
        <color rgb="FF000000"/>
        <name val="Times New Roman"/>
        <scheme val="none"/>
      </font>
      <alignment horizontal="center" vertical="center" textRotation="0" wrapText="0" indent="0" justifyLastLine="0" shrinkToFit="0" readingOrder="0"/>
      <border diagonalUp="0" diagonalDown="0">
        <left/>
        <right style="medium">
          <color indexed="64"/>
        </right>
        <top/>
        <bottom style="medium">
          <color indexed="64"/>
        </bottom>
        <vertical/>
        <horizontal/>
      </border>
    </dxf>
    <dxf>
      <font>
        <b val="0"/>
        <i val="0"/>
        <strike val="0"/>
        <condense val="0"/>
        <extend val="0"/>
        <outline val="0"/>
        <shadow val="0"/>
        <u val="none"/>
        <vertAlign val="baseline"/>
        <sz val="9"/>
        <color rgb="FF000000"/>
        <name val="Times New Roman"/>
        <scheme val="none"/>
      </font>
      <alignment horizontal="general" vertical="center" textRotation="0" wrapText="1" indent="0" justifyLastLine="0" shrinkToFit="0" readingOrder="0"/>
      <border diagonalUp="0" diagonalDown="0">
        <left style="medium">
          <color indexed="64"/>
        </left>
        <right style="medium">
          <color indexed="64"/>
        </right>
        <top/>
        <bottom style="medium">
          <color indexed="64"/>
        </bottom>
        <vertical/>
        <horizontal/>
      </border>
    </dxf>
    <dxf>
      <font>
        <b val="0"/>
        <i val="0"/>
        <strike val="0"/>
        <condense val="0"/>
        <extend val="0"/>
        <outline val="0"/>
        <shadow val="0"/>
        <u val="none"/>
        <vertAlign val="baseline"/>
        <sz val="9"/>
        <color rgb="FF000000"/>
        <name val="Times New Roman"/>
        <scheme val="none"/>
      </font>
      <alignment horizontal="center" vertical="center" textRotation="0" wrapText="0" indent="0" justifyLastLine="0" shrinkToFit="0" readingOrder="0"/>
      <border diagonalUp="0" diagonalDown="0">
        <left style="medium">
          <color indexed="64"/>
        </left>
        <right style="medium">
          <color indexed="64"/>
        </right>
        <top/>
        <bottom style="medium">
          <color indexed="64"/>
        </bottom>
        <vertical/>
        <horizontal/>
      </border>
    </dxf>
    <dxf>
      <border outline="0">
        <right style="medium">
          <color indexed="64"/>
        </right>
      </border>
    </dxf>
    <dxf>
      <font>
        <b val="0"/>
        <i val="0"/>
        <strike val="0"/>
        <condense val="0"/>
        <extend val="0"/>
        <outline val="0"/>
        <shadow val="0"/>
        <u val="none"/>
        <vertAlign val="baseline"/>
        <sz val="9"/>
        <color rgb="FF000000"/>
        <name val="Times New Roman"/>
        <scheme val="none"/>
      </font>
      <alignment horizontal="center" vertical="center" textRotation="0" wrapText="0" indent="0" justifyLastLine="0" shrinkToFit="0" readingOrder="0"/>
      <border diagonalUp="0" diagonalDown="0" outline="0">
        <left style="medium">
          <color indexed="64"/>
        </left>
        <right style="medium">
          <color indexed="64"/>
        </right>
        <top/>
        <bottom/>
      </border>
    </dxf>
    <dxf>
      <font>
        <b val="0"/>
        <i val="0"/>
        <strike val="0"/>
        <condense val="0"/>
        <extend val="0"/>
        <outline val="0"/>
        <shadow val="0"/>
        <u val="none"/>
        <vertAlign val="baseline"/>
        <sz val="7"/>
        <color rgb="FF000000"/>
        <name val="Times New Roman"/>
        <scheme val="none"/>
      </font>
      <alignment horizontal="center" vertical="center" textRotation="0" wrapText="0" indent="0" justifyLastLine="0" shrinkToFit="0" readingOrder="0"/>
    </dxf>
    <dxf>
      <font>
        <b val="0"/>
        <i val="0"/>
        <strike val="0"/>
        <condense val="0"/>
        <extend val="0"/>
        <outline val="0"/>
        <shadow val="0"/>
        <u val="none"/>
        <vertAlign val="baseline"/>
        <sz val="7"/>
        <color rgb="FF000000"/>
        <name val="Times New Roman"/>
        <scheme val="none"/>
      </font>
      <alignment horizontal="center" vertical="center" textRotation="0" wrapText="0" indent="0" justifyLastLine="0" shrinkToFit="0" readingOrder="0"/>
    </dxf>
    <dxf>
      <font>
        <b val="0"/>
        <i val="0"/>
        <strike val="0"/>
        <condense val="0"/>
        <extend val="0"/>
        <outline val="0"/>
        <shadow val="0"/>
        <u val="none"/>
        <vertAlign val="baseline"/>
        <sz val="7"/>
        <color rgb="FF000000"/>
        <name val="Times New Roman"/>
        <scheme val="none"/>
      </font>
      <alignment horizontal="center" vertical="center" textRotation="0" wrapText="0" indent="0" justifyLastLine="0" shrinkToFit="0" readingOrder="0"/>
    </dxf>
    <dxf>
      <font>
        <b val="0"/>
        <i val="0"/>
        <strike val="0"/>
        <condense val="0"/>
        <extend val="0"/>
        <outline val="0"/>
        <shadow val="0"/>
        <u val="none"/>
        <vertAlign val="baseline"/>
        <sz val="7"/>
        <color rgb="FF000000"/>
        <name val="Times New Roman"/>
        <scheme val="none"/>
      </font>
      <alignment horizontal="center" vertical="center" textRotation="0" wrapText="0" indent="0" justifyLastLine="0" shrinkToFit="0" readingOrder="0"/>
    </dxf>
    <dxf>
      <font>
        <b val="0"/>
        <i val="0"/>
        <strike val="0"/>
        <condense val="0"/>
        <extend val="0"/>
        <outline val="0"/>
        <shadow val="0"/>
        <u val="none"/>
        <vertAlign val="baseline"/>
        <sz val="7"/>
        <color rgb="FF000000"/>
        <name val="Times New Roman"/>
        <scheme val="none"/>
      </font>
      <alignment horizontal="center" vertical="center" textRotation="0" wrapText="0" indent="0" justifyLastLine="0" shrinkToFit="0" readingOrder="0"/>
    </dxf>
    <dxf>
      <font>
        <b val="0"/>
        <i val="0"/>
        <strike val="0"/>
        <condense val="0"/>
        <extend val="0"/>
        <outline val="0"/>
        <shadow val="0"/>
        <u val="none"/>
        <vertAlign val="baseline"/>
        <sz val="7"/>
        <color rgb="FF000000"/>
        <name val="Times New Roman"/>
        <scheme val="none"/>
      </font>
      <alignment horizontal="center" vertical="center" textRotation="0" wrapText="0" indent="0" justifyLastLine="0" shrinkToFit="0" readingOrder="0"/>
    </dxf>
    <dxf>
      <font>
        <b val="0"/>
        <i val="0"/>
        <strike val="0"/>
        <condense val="0"/>
        <extend val="0"/>
        <outline val="0"/>
        <shadow val="0"/>
        <u val="none"/>
        <vertAlign val="baseline"/>
        <sz val="7"/>
        <color rgb="FF000000"/>
        <name val="Times New Roman"/>
        <scheme val="none"/>
      </font>
      <alignment horizontal="center" vertical="center" textRotation="0" wrapText="0" indent="0" justifyLastLine="0" shrinkToFit="0" readingOrder="0"/>
    </dxf>
    <dxf>
      <font>
        <b val="0"/>
        <i val="0"/>
        <strike val="0"/>
        <condense val="0"/>
        <extend val="0"/>
        <outline val="0"/>
        <shadow val="0"/>
        <u val="none"/>
        <vertAlign val="baseline"/>
        <sz val="7"/>
        <color rgb="FF000000"/>
        <name val="Times New Roman"/>
        <scheme val="none"/>
      </font>
      <alignment horizontal="center" vertical="center" textRotation="0" wrapText="0" indent="0" justifyLastLine="0" shrinkToFit="0" readingOrder="0"/>
    </dxf>
    <dxf>
      <font>
        <b val="0"/>
        <i val="0"/>
        <strike val="0"/>
        <condense val="0"/>
        <extend val="0"/>
        <outline val="0"/>
        <shadow val="0"/>
        <u val="none"/>
        <vertAlign val="baseline"/>
        <sz val="7"/>
        <color rgb="FF000000"/>
        <name val="Times New Roman"/>
        <scheme val="none"/>
      </font>
      <alignment horizontal="center" vertical="center" textRotation="0" wrapText="0" indent="0" justifyLastLine="0" shrinkToFit="0" readingOrder="0"/>
    </dxf>
    <dxf>
      <font>
        <b val="0"/>
        <i val="0"/>
        <strike val="0"/>
        <condense val="0"/>
        <extend val="0"/>
        <outline val="0"/>
        <shadow val="0"/>
        <u val="none"/>
        <vertAlign val="baseline"/>
        <sz val="7"/>
        <color rgb="FF000000"/>
        <name val="Times New Roman"/>
        <scheme val="none"/>
      </font>
      <alignment horizontal="center" vertical="center" textRotation="0" wrapText="0" indent="0" justifyLastLine="0" shrinkToFit="0" readingOrder="0"/>
    </dxf>
    <dxf>
      <font>
        <b val="0"/>
        <i val="0"/>
        <strike val="0"/>
        <condense val="0"/>
        <extend val="0"/>
        <outline val="0"/>
        <shadow val="0"/>
        <u val="none"/>
        <vertAlign val="baseline"/>
        <sz val="7"/>
        <color rgb="FF000000"/>
        <name val="Times New Roman"/>
        <scheme val="none"/>
      </font>
      <alignment horizontal="center" vertical="center" textRotation="0" wrapText="0" indent="0" justifyLastLine="0" shrinkToFit="0" readingOrder="0"/>
    </dxf>
    <dxf>
      <font>
        <b val="0"/>
        <i val="0"/>
        <strike val="0"/>
        <condense val="0"/>
        <extend val="0"/>
        <outline val="0"/>
        <shadow val="0"/>
        <u val="none"/>
        <vertAlign val="baseline"/>
        <sz val="7"/>
        <color rgb="FF000000"/>
        <name val="Times New Roman"/>
        <scheme val="none"/>
      </font>
      <alignment horizontal="center" vertical="center" textRotation="0" wrapText="0" indent="0" justifyLastLine="0" shrinkToFit="0" readingOrder="0"/>
    </dxf>
    <dxf>
      <font>
        <b val="0"/>
        <i val="0"/>
        <strike val="0"/>
        <condense val="0"/>
        <extend val="0"/>
        <outline val="0"/>
        <shadow val="0"/>
        <u val="none"/>
        <vertAlign val="baseline"/>
        <sz val="7"/>
        <color rgb="FF000000"/>
        <name val="Times New Roman"/>
        <scheme val="none"/>
      </font>
      <alignment horizontal="center" vertical="center" textRotation="0" wrapText="0" indent="0" justifyLastLine="0" shrinkToFit="0" readingOrder="0"/>
    </dxf>
    <dxf>
      <font>
        <b val="0"/>
        <i val="0"/>
        <strike val="0"/>
        <condense val="0"/>
        <extend val="0"/>
        <outline val="0"/>
        <shadow val="0"/>
        <u val="none"/>
        <vertAlign val="baseline"/>
        <sz val="7"/>
        <color rgb="FF000000"/>
        <name val="Times New Roman"/>
        <scheme val="none"/>
      </font>
      <alignment horizontal="center" vertical="center" textRotation="0" wrapText="0" indent="0" justifyLastLine="0" shrinkToFit="0" readingOrder="0"/>
    </dxf>
    <dxf>
      <font>
        <b val="0"/>
        <i val="0"/>
        <strike val="0"/>
        <condense val="0"/>
        <extend val="0"/>
        <outline val="0"/>
        <shadow val="0"/>
        <u val="none"/>
        <vertAlign val="baseline"/>
        <sz val="7"/>
        <color rgb="FF000000"/>
        <name val="Times New Roman"/>
        <scheme val="none"/>
      </font>
      <alignment horizontal="center" vertical="center" textRotation="0" wrapText="0" indent="0" justifyLastLine="0" shrinkToFit="0" readingOrder="0"/>
    </dxf>
    <dxf>
      <font>
        <b val="0"/>
        <i val="0"/>
        <strike val="0"/>
        <condense val="0"/>
        <extend val="0"/>
        <outline val="0"/>
        <shadow val="0"/>
        <u val="none"/>
        <vertAlign val="baseline"/>
        <sz val="7"/>
        <color rgb="FF000000"/>
        <name val="Times New Roman"/>
        <scheme val="none"/>
      </font>
      <alignment horizontal="center" vertical="center" textRotation="0" wrapText="0" indent="0" justifyLastLine="0" shrinkToFit="0" readingOrder="0"/>
    </dxf>
    <dxf>
      <font>
        <b val="0"/>
        <i val="0"/>
        <strike val="0"/>
        <condense val="0"/>
        <extend val="0"/>
        <outline val="0"/>
        <shadow val="0"/>
        <u val="none"/>
        <vertAlign val="baseline"/>
        <sz val="7"/>
        <color rgb="FF000000"/>
        <name val="Times New Roman"/>
        <scheme val="none"/>
      </font>
      <alignment horizontal="center" vertical="center" textRotation="0" wrapText="0" indent="0" justifyLastLine="0" shrinkToFit="0" readingOrder="0"/>
    </dxf>
    <dxf>
      <font>
        <b val="0"/>
        <i val="0"/>
        <strike val="0"/>
        <condense val="0"/>
        <extend val="0"/>
        <outline val="0"/>
        <shadow val="0"/>
        <u val="none"/>
        <vertAlign val="baseline"/>
        <sz val="7"/>
        <color rgb="FF000000"/>
        <name val="Times New Roman"/>
        <scheme val="none"/>
      </font>
      <alignment horizontal="center" vertical="center" textRotation="0" wrapText="0" indent="0" justifyLastLine="0" shrinkToFit="0" readingOrder="0"/>
    </dxf>
    <dxf>
      <font>
        <b val="0"/>
        <i val="0"/>
        <strike val="0"/>
        <condense val="0"/>
        <extend val="0"/>
        <outline val="0"/>
        <shadow val="0"/>
        <u val="none"/>
        <vertAlign val="baseline"/>
        <sz val="7"/>
        <color rgb="FF000000"/>
        <name val="Times New Roman"/>
        <scheme val="none"/>
      </font>
      <alignment horizontal="center" vertical="center" textRotation="0" wrapText="0" indent="0" justifyLastLine="0" shrinkToFit="0" readingOrder="0"/>
    </dxf>
    <dxf>
      <font>
        <b val="0"/>
        <i val="0"/>
        <strike val="0"/>
        <condense val="0"/>
        <extend val="0"/>
        <outline val="0"/>
        <shadow val="0"/>
        <u val="none"/>
        <vertAlign val="baseline"/>
        <sz val="7"/>
        <color rgb="FF000000"/>
        <name val="Times New Roman"/>
        <scheme val="none"/>
      </font>
      <alignment horizontal="center" vertical="center" textRotation="0" wrapText="0" indent="0" justifyLastLine="0" shrinkToFit="0" readingOrder="0"/>
    </dxf>
    <dxf>
      <font>
        <b val="0"/>
        <i val="0"/>
        <strike val="0"/>
        <condense val="0"/>
        <extend val="0"/>
        <outline val="0"/>
        <shadow val="0"/>
        <u val="none"/>
        <vertAlign val="baseline"/>
        <sz val="9"/>
        <color rgb="FF000000"/>
        <name val="Times New Roman"/>
        <scheme val="none"/>
      </font>
      <alignment horizontal="general" vertical="center" textRotation="0" wrapText="1" indent="0" justifyLastLine="0" shrinkToFit="0" readingOrder="0"/>
    </dxf>
    <dxf>
      <font>
        <b val="0"/>
        <i val="0"/>
        <strike val="0"/>
        <condense val="0"/>
        <extend val="0"/>
        <outline val="0"/>
        <shadow val="0"/>
        <u val="none"/>
        <vertAlign val="baseline"/>
        <sz val="9"/>
        <color rgb="FF000000"/>
        <name val="Times New Roman"/>
        <scheme val="none"/>
      </font>
      <alignment horizontal="center" vertical="center" textRotation="0" wrapText="0" indent="0" justifyLastLine="0" shrinkToFit="0" readingOrder="0"/>
    </dxf>
    <dxf>
      <font>
        <b val="0"/>
        <i val="0"/>
        <strike val="0"/>
        <condense val="0"/>
        <extend val="0"/>
        <outline val="0"/>
        <shadow val="0"/>
        <u val="none"/>
        <vertAlign val="baseline"/>
        <sz val="7"/>
        <color rgb="FF000000"/>
        <name val="Times New Roman"/>
        <scheme val="none"/>
      </font>
      <alignment horizontal="center" vertical="center" textRotation="0" wrapText="0" indent="0" justifyLastLine="0" shrinkToFit="0" readingOrder="0"/>
    </dxf>
    <dxf>
      <font>
        <b val="0"/>
        <i val="0"/>
        <strike val="0"/>
        <condense val="0"/>
        <extend val="0"/>
        <outline val="0"/>
        <shadow val="0"/>
        <u val="none"/>
        <vertAlign val="baseline"/>
        <sz val="9"/>
        <color rgb="FF000000"/>
        <name val="Times New Roman"/>
        <scheme val="none"/>
      </font>
      <alignment horizontal="center" vertical="center" textRotation="0" wrapText="0" indent="0" justifyLastLine="0" shrinkToFit="0" readingOrder="0"/>
    </dxf>
    <dxf>
      <alignment horizontal="center" vertical="center" textRotation="0" wrapText="0" indent="0" justifyLastLine="0" shrinkToFit="0" readingOrder="0"/>
    </dxf>
    <dxf>
      <font>
        <b val="0"/>
        <i val="0"/>
        <strike val="0"/>
        <condense val="0"/>
        <extend val="0"/>
        <outline val="0"/>
        <shadow val="0"/>
        <u val="none"/>
        <vertAlign val="baseline"/>
        <sz val="7"/>
        <color rgb="FF000000"/>
        <name val="Times New Roman"/>
        <scheme val="none"/>
      </font>
      <alignment horizontal="center" vertical="center" textRotation="0" wrapText="0" indent="0" justifyLastLine="0" shrinkToFit="0" readingOrder="0"/>
    </dxf>
    <dxf>
      <font>
        <b val="0"/>
        <i val="0"/>
        <strike val="0"/>
        <condense val="0"/>
        <extend val="0"/>
        <outline val="0"/>
        <shadow val="0"/>
        <u val="none"/>
        <vertAlign val="baseline"/>
        <sz val="9"/>
        <color rgb="FF000000"/>
        <name val="Times New Roman"/>
        <scheme val="none"/>
      </font>
      <alignment horizontal="general" vertical="center" textRotation="0" wrapText="1" indent="0" justifyLastLine="0" shrinkToFit="0" readingOrder="0"/>
    </dxf>
    <dxf>
      <font>
        <b val="0"/>
        <i val="0"/>
        <strike val="0"/>
        <condense val="0"/>
        <extend val="0"/>
        <outline val="0"/>
        <shadow val="0"/>
        <u val="none"/>
        <vertAlign val="baseline"/>
        <sz val="9"/>
        <color rgb="FF000000"/>
        <name val="Times New Roman"/>
        <scheme val="none"/>
      </font>
      <alignment horizontal="center" vertical="center" textRotation="0" wrapText="0" indent="0" justifyLastLine="0" shrinkToFit="0" readingOrder="0"/>
    </dxf>
    <dxf>
      <font>
        <b val="0"/>
        <i val="0"/>
        <strike val="0"/>
        <condense val="0"/>
        <extend val="0"/>
        <outline val="0"/>
        <shadow val="0"/>
        <u val="none"/>
        <vertAlign val="baseline"/>
        <sz val="9"/>
        <color rgb="FF000000"/>
        <name val="Times New Roman"/>
        <scheme val="none"/>
      </font>
      <alignment horizontal="center" vertical="center" textRotation="90" wrapText="0" indent="0" justifyLastLine="0" shrinkToFit="0" readingOrder="0"/>
    </dxf>
    <dxf>
      <font>
        <b val="0"/>
        <i val="0"/>
        <strike val="0"/>
        <condense val="0"/>
        <extend val="0"/>
        <outline val="0"/>
        <shadow val="0"/>
        <u val="none"/>
        <vertAlign val="baseline"/>
        <sz val="9"/>
        <color rgb="FF000000"/>
        <name val="Times New Roman"/>
        <scheme val="none"/>
      </font>
      <alignment horizontal="general" vertical="center" textRotation="0" wrapText="1" indent="0" justifyLastLine="0" shrinkToFit="0" readingOrder="0"/>
    </dxf>
    <dxf>
      <font>
        <b val="0"/>
        <i val="0"/>
        <strike val="0"/>
        <condense val="0"/>
        <extend val="0"/>
        <outline val="0"/>
        <shadow val="0"/>
        <u val="none"/>
        <vertAlign val="baseline"/>
        <sz val="9"/>
        <color rgb="FF000000"/>
        <name val="Times New Roman"/>
        <scheme val="none"/>
      </font>
      <alignment horizontal="center" vertical="center" textRotation="0" wrapText="0" indent="0" justifyLastLine="0" shrinkToFit="0" readingOrder="0"/>
    </dxf>
    <dxf>
      <font>
        <b val="0"/>
        <i val="0"/>
        <strike val="0"/>
        <condense val="0"/>
        <extend val="0"/>
        <outline val="0"/>
        <shadow val="0"/>
        <u val="none"/>
        <vertAlign val="baseline"/>
        <sz val="9"/>
        <color rgb="FF000000"/>
        <name val="Times New Roman"/>
        <scheme val="none"/>
      </font>
      <alignment horizontal="general" vertical="center" textRotation="90" wrapText="0" indent="0" justifyLastLine="0" shrinkToFit="0" readingOrder="0"/>
    </dxf>
    <dxf>
      <font>
        <b val="0"/>
        <i val="0"/>
        <strike val="0"/>
        <condense val="0"/>
        <extend val="0"/>
        <outline val="0"/>
        <shadow val="0"/>
        <u val="none"/>
        <vertAlign val="baseline"/>
        <sz val="7"/>
        <color rgb="FF000000"/>
        <name val="Times New Roman"/>
        <scheme val="none"/>
      </font>
      <alignment horizontal="center" vertical="center" textRotation="0" wrapText="0" indent="0" justifyLastLine="0" shrinkToFit="0" readingOrder="0"/>
    </dxf>
    <dxf>
      <font>
        <b val="0"/>
        <i val="0"/>
        <strike val="0"/>
        <condense val="0"/>
        <extend val="0"/>
        <outline val="0"/>
        <shadow val="0"/>
        <u val="none"/>
        <vertAlign val="baseline"/>
        <sz val="7"/>
        <color rgb="FF000000"/>
        <name val="Times New Roman"/>
        <scheme val="none"/>
      </font>
      <alignment horizontal="center" vertical="center" textRotation="0" wrapText="0" indent="0" justifyLastLine="0" shrinkToFit="0" readingOrder="0"/>
    </dxf>
    <dxf>
      <font>
        <b val="0"/>
        <i val="0"/>
        <strike val="0"/>
        <condense val="0"/>
        <extend val="0"/>
        <outline val="0"/>
        <shadow val="0"/>
        <u val="none"/>
        <vertAlign val="baseline"/>
        <sz val="7"/>
        <color rgb="FF000000"/>
        <name val="Times New Roman"/>
        <scheme val="none"/>
      </font>
      <alignment horizontal="center" vertical="center" textRotation="0" wrapText="0" indent="0" justifyLastLine="0" shrinkToFit="0" readingOrder="0"/>
    </dxf>
    <dxf>
      <font>
        <b val="0"/>
        <i val="0"/>
        <strike val="0"/>
        <condense val="0"/>
        <extend val="0"/>
        <outline val="0"/>
        <shadow val="0"/>
        <u val="none"/>
        <vertAlign val="baseline"/>
        <sz val="7"/>
        <color rgb="FF000000"/>
        <name val="Times New Roman"/>
        <scheme val="none"/>
      </font>
      <alignment horizontal="center" vertical="center" textRotation="0" wrapText="0" indent="0" justifyLastLine="0" shrinkToFit="0" readingOrder="0"/>
    </dxf>
    <dxf>
      <font>
        <b val="0"/>
        <i val="0"/>
        <strike val="0"/>
        <condense val="0"/>
        <extend val="0"/>
        <outline val="0"/>
        <shadow val="0"/>
        <u val="none"/>
        <vertAlign val="baseline"/>
        <sz val="7"/>
        <color rgb="FF000000"/>
        <name val="Times New Roman"/>
        <scheme val="none"/>
      </font>
      <alignment horizontal="center" vertical="center" textRotation="0" wrapText="0" indent="0" justifyLastLine="0" shrinkToFit="0" readingOrder="0"/>
    </dxf>
    <dxf>
      <font>
        <b val="0"/>
        <i val="0"/>
        <strike val="0"/>
        <condense val="0"/>
        <extend val="0"/>
        <outline val="0"/>
        <shadow val="0"/>
        <u val="none"/>
        <vertAlign val="baseline"/>
        <sz val="7"/>
        <color rgb="FF000000"/>
        <name val="Times New Roman"/>
        <scheme val="none"/>
      </font>
      <alignment horizontal="center" vertical="center" textRotation="0" wrapText="0" indent="0" justifyLastLine="0" shrinkToFit="0" readingOrder="0"/>
    </dxf>
    <dxf>
      <font>
        <b val="0"/>
        <i val="0"/>
        <strike val="0"/>
        <condense val="0"/>
        <extend val="0"/>
        <outline val="0"/>
        <shadow val="0"/>
        <u val="none"/>
        <vertAlign val="baseline"/>
        <sz val="7"/>
        <color rgb="FF000000"/>
        <name val="Times New Roman"/>
        <scheme val="none"/>
      </font>
      <alignment horizontal="center" vertical="center" textRotation="0" wrapText="0" indent="0" justifyLastLine="0" shrinkToFit="0" readingOrder="0"/>
    </dxf>
    <dxf>
      <font>
        <b val="0"/>
        <i val="0"/>
        <strike val="0"/>
        <condense val="0"/>
        <extend val="0"/>
        <outline val="0"/>
        <shadow val="0"/>
        <u val="none"/>
        <vertAlign val="baseline"/>
        <sz val="7"/>
        <color rgb="FF000000"/>
        <name val="Times New Roman"/>
        <scheme val="none"/>
      </font>
      <alignment horizontal="center" vertical="center" textRotation="0" wrapText="0" indent="0" justifyLastLine="0" shrinkToFit="0" readingOrder="0"/>
    </dxf>
    <dxf>
      <font>
        <b val="0"/>
        <i val="0"/>
        <strike val="0"/>
        <condense val="0"/>
        <extend val="0"/>
        <outline val="0"/>
        <shadow val="0"/>
        <u val="none"/>
        <vertAlign val="baseline"/>
        <sz val="7"/>
        <color rgb="FF000000"/>
        <name val="Times New Roman"/>
        <scheme val="none"/>
      </font>
      <alignment horizontal="center" vertical="center" textRotation="0" wrapText="0" indent="0" justifyLastLine="0" shrinkToFit="0" readingOrder="0"/>
    </dxf>
    <dxf>
      <font>
        <b val="0"/>
        <i val="0"/>
        <strike val="0"/>
        <condense val="0"/>
        <extend val="0"/>
        <outline val="0"/>
        <shadow val="0"/>
        <u val="none"/>
        <vertAlign val="baseline"/>
        <sz val="9"/>
        <color rgb="FF000000"/>
        <name val="Times New Roman"/>
        <scheme val="none"/>
      </font>
      <alignment horizontal="general" vertical="center" textRotation="0" wrapText="1" indent="0" justifyLastLine="0" shrinkToFit="0" readingOrder="0"/>
    </dxf>
    <dxf>
      <font>
        <b val="0"/>
        <i val="0"/>
        <strike val="0"/>
        <condense val="0"/>
        <extend val="0"/>
        <outline val="0"/>
        <shadow val="0"/>
        <u val="none"/>
        <vertAlign val="baseline"/>
        <sz val="9"/>
        <color rgb="FF000000"/>
        <name val="Times New Roman"/>
        <scheme val="none"/>
      </font>
      <alignment horizontal="center" vertical="center" textRotation="0" wrapText="0" indent="0" justifyLastLine="0" shrinkToFit="0" readingOrder="0"/>
    </dxf>
    <dxf>
      <font>
        <b val="0"/>
        <i val="0"/>
        <strike val="0"/>
        <condense val="0"/>
        <extend val="0"/>
        <outline val="0"/>
        <shadow val="0"/>
        <u val="none"/>
        <vertAlign val="baseline"/>
        <sz val="7"/>
        <color rgb="FF000000"/>
        <name val="Times New Roman"/>
        <scheme val="none"/>
      </font>
      <alignment horizontal="center" vertical="center" textRotation="0" wrapText="0" indent="0" justifyLastLine="0" shrinkToFit="0" readingOrder="0"/>
    </dxf>
    <dxf>
      <font>
        <b val="0"/>
        <i val="0"/>
        <strike val="0"/>
        <condense val="0"/>
        <extend val="0"/>
        <outline val="0"/>
        <shadow val="0"/>
        <u val="none"/>
        <vertAlign val="baseline"/>
        <sz val="9"/>
        <color rgb="FF000000"/>
        <name val="Times New Roman"/>
        <scheme val="none"/>
      </font>
      <alignment horizontal="general" vertical="center" textRotation="90" wrapText="0" indent="0" justifyLastLine="0" shrinkToFit="0" readingOrder="0"/>
    </dxf>
    <dxf>
      <alignment horizontal="general" vertical="center" textRotation="0" wrapText="0" indent="0" justifyLastLine="0" shrinkToFit="0" readingOrder="0"/>
    </dxf>
    <dxf>
      <alignment horizontal="general" vertical="center" textRotation="0" wrapText="0" indent="0" justifyLastLine="0" shrinkToFit="0" readingOrder="0"/>
    </dxf>
    <dxf>
      <alignment horizontal="general" vertical="center" textRotation="0" wrapText="0" indent="0" justifyLastLine="0" shrinkToFit="0" readingOrder="0"/>
    </dxf>
    <dxf>
      <alignment horizontal="general" vertical="center" textRotation="0" wrapText="0" indent="0" justifyLastLine="0" shrinkToFit="0" readingOrder="0"/>
    </dxf>
    <dxf>
      <alignment horizontal="general" vertical="center" textRotation="0" wrapText="0" indent="0" justifyLastLine="0" shrinkToFit="0" readingOrder="0"/>
    </dxf>
    <dxf>
      <alignment horizontal="general" vertical="center" textRotation="0" wrapText="0" indent="0" justifyLastLine="0" shrinkToFit="0" readingOrder="0"/>
    </dxf>
    <dxf>
      <alignment horizontal="general" vertical="center" textRotation="0" wrapText="0" indent="0" justifyLastLine="0" shrinkToFit="0" readingOrder="0"/>
    </dxf>
    <dxf>
      <alignment horizontal="general" vertical="center" textRotation="0" wrapText="0" indent="0" justifyLastLine="0" shrinkToFit="0" readingOrder="0"/>
    </dxf>
    <dxf>
      <alignment horizontal="general" vertical="center" textRotation="0" wrapText="0" indent="0" justifyLastLine="0" shrinkToFit="0" readingOrder="0"/>
    </dxf>
    <dxf>
      <alignment horizontal="general" vertical="center" textRotation="0" wrapText="0" indent="0" justifyLastLine="0" shrinkToFit="0" readingOrder="0"/>
    </dxf>
    <dxf>
      <alignment horizontal="general" vertical="center" textRotation="0" wrapText="0" indent="0" justifyLastLine="0" shrinkToFit="0" readingOrder="0"/>
    </dxf>
    <dxf>
      <alignment horizontal="general" vertical="center" textRotation="0" wrapText="0" indent="0" justifyLastLine="0" shrinkToFit="0" readingOrder="0"/>
    </dxf>
    <dxf>
      <alignment horizontal="general" vertical="center" textRotation="0" wrapText="0" indent="0" justifyLastLine="0" shrinkToFit="0" readingOrder="0"/>
    </dxf>
    <dxf>
      <alignment horizontal="general" vertical="center" textRotation="0" wrapText="0" indent="0" justifyLastLine="0" shrinkToFit="0" readingOrder="0"/>
    </dxf>
    <dxf>
      <alignment horizontal="general" vertical="center" textRotation="0" wrapText="0" indent="0" justifyLastLine="0" shrinkToFit="0" readingOrder="0"/>
    </dxf>
    <dxf>
      <alignment horizontal="general" vertical="center" textRotation="0" wrapText="0" indent="0" justifyLastLine="0" shrinkToFit="0" readingOrder="0"/>
    </dxf>
    <dxf>
      <alignment horizontal="general" vertical="center" textRotation="0" wrapText="0" indent="0" justifyLastLine="0" shrinkToFit="0" readingOrder="0"/>
    </dxf>
    <dxf>
      <alignment horizontal="general" vertical="center" textRotation="0" wrapText="0" indent="0" justifyLastLine="0" shrinkToFit="0" readingOrder="0"/>
    </dxf>
    <dxf>
      <font>
        <b val="0"/>
        <i val="0"/>
        <strike val="0"/>
        <condense val="0"/>
        <extend val="0"/>
        <outline val="0"/>
        <shadow val="0"/>
        <u val="none"/>
        <vertAlign val="baseline"/>
        <sz val="8"/>
        <color rgb="FF000000"/>
        <name val="Palatino Linotype"/>
        <scheme val="none"/>
      </font>
      <alignment horizontal="general" vertical="center" textRotation="0" wrapText="1" indent="0" justifyLastLine="0" shrinkToFit="0" readingOrder="0"/>
    </dxf>
    <dxf>
      <font>
        <b val="0"/>
        <i val="0"/>
        <strike val="0"/>
        <condense val="0"/>
        <extend val="0"/>
        <outline val="0"/>
        <shadow val="0"/>
        <u val="none"/>
        <vertAlign val="baseline"/>
        <sz val="9"/>
        <color rgb="FF000000"/>
        <name val="Times New Roman"/>
        <scheme val="none"/>
      </font>
      <alignment horizontal="center" vertical="center" textRotation="0" wrapText="0" indent="0" justifyLastLine="0" shrinkToFit="0" readingOrder="0"/>
    </dxf>
    <dxf>
      <alignment horizontal="general" vertical="center" textRotation="0" wrapText="0" indent="0" justifyLastLine="0" shrinkToFit="0" readingOrder="0"/>
    </dxf>
    <dxf>
      <font>
        <b val="0"/>
        <i val="0"/>
        <strike val="0"/>
        <condense val="0"/>
        <extend val="0"/>
        <outline val="0"/>
        <shadow val="0"/>
        <u val="none"/>
        <vertAlign val="baseline"/>
        <sz val="9"/>
        <color rgb="FF000000"/>
        <name val="Times New Roman"/>
        <scheme val="none"/>
      </font>
      <alignment horizontal="general" vertical="center" textRotation="90" wrapText="0"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alcChain" Target="calcChain.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bar"/>
        <c:grouping val="clustered"/>
        <c:varyColors val="0"/>
        <c:ser>
          <c:idx val="1"/>
          <c:order val="1"/>
          <c:tx>
            <c:strRef>
              <c:f>'Index of Suitability (IS)'!$F$34</c:f>
              <c:strCache>
                <c:ptCount val="1"/>
                <c:pt idx="0">
                  <c:v>Index of Suitability</c:v>
                </c:pt>
              </c:strCache>
            </c:strRef>
          </c:tx>
          <c:spPr>
            <a:solidFill>
              <a:schemeClr val="accent2"/>
            </a:solidFill>
            <a:ln>
              <a:noFill/>
            </a:ln>
            <a:effectLst>
              <a:outerShdw blurRad="50800" dist="38100" dir="2700000" algn="tl" rotWithShape="0">
                <a:prstClr val="black">
                  <a:alpha val="40000"/>
                </a:prstClr>
              </a:outerShdw>
            </a:effectLst>
          </c:spPr>
          <c:invertIfNegative val="0"/>
          <c:cat>
            <c:strRef>
              <c:f>'Index of Suitability (IS)'!$D$35:$D$54</c:f>
              <c:strCache>
                <c:ptCount val="20"/>
                <c:pt idx="0">
                  <c:v>AHP</c:v>
                </c:pt>
                <c:pt idx="1">
                  <c:v>ELECTRE</c:v>
                </c:pt>
                <c:pt idx="2">
                  <c:v>PROMETHEE</c:v>
                </c:pt>
                <c:pt idx="3">
                  <c:v>TOPSIS</c:v>
                </c:pt>
                <c:pt idx="4">
                  <c:v>ANP</c:v>
                </c:pt>
                <c:pt idx="5">
                  <c:v>VIKOR</c:v>
                </c:pt>
                <c:pt idx="6">
                  <c:v>DEMATEL</c:v>
                </c:pt>
                <c:pt idx="7">
                  <c:v>MULTIMOORA</c:v>
                </c:pt>
                <c:pt idx="8">
                  <c:v>MOORA</c:v>
                </c:pt>
                <c:pt idx="9">
                  <c:v>WASPAS</c:v>
                </c:pt>
                <c:pt idx="10">
                  <c:v>COPRA</c:v>
                </c:pt>
                <c:pt idx="11">
                  <c:v>DEA</c:v>
                </c:pt>
                <c:pt idx="12">
                  <c:v>MAUT</c:v>
                </c:pt>
                <c:pt idx="13">
                  <c:v>MAVT</c:v>
                </c:pt>
                <c:pt idx="14">
                  <c:v>ASPID</c:v>
                </c:pt>
                <c:pt idx="15">
                  <c:v>BWM</c:v>
                </c:pt>
                <c:pt idx="16">
                  <c:v>EDAS</c:v>
                </c:pt>
                <c:pt idx="17">
                  <c:v>ERA</c:v>
                </c:pt>
                <c:pt idx="18">
                  <c:v>SMART</c:v>
                </c:pt>
                <c:pt idx="19">
                  <c:v>WSM</c:v>
                </c:pt>
              </c:strCache>
            </c:strRef>
          </c:cat>
          <c:val>
            <c:numRef>
              <c:f>'Index of Suitability (IS)'!$F$35:$F$54</c:f>
              <c:numCache>
                <c:formatCode>0.0000</c:formatCode>
                <c:ptCount val="20"/>
                <c:pt idx="0">
                  <c:v>0.5714285714285714</c:v>
                </c:pt>
                <c:pt idx="1">
                  <c:v>0.42857142857142855</c:v>
                </c:pt>
                <c:pt idx="2">
                  <c:v>0.5714285714285714</c:v>
                </c:pt>
                <c:pt idx="3">
                  <c:v>0.8571428571428571</c:v>
                </c:pt>
                <c:pt idx="4">
                  <c:v>0.5</c:v>
                </c:pt>
                <c:pt idx="5">
                  <c:v>0.5714285714285714</c:v>
                </c:pt>
                <c:pt idx="6">
                  <c:v>0.5</c:v>
                </c:pt>
                <c:pt idx="7">
                  <c:v>0.5</c:v>
                </c:pt>
                <c:pt idx="8">
                  <c:v>0.5</c:v>
                </c:pt>
                <c:pt idx="9">
                  <c:v>0.42857142857142855</c:v>
                </c:pt>
                <c:pt idx="10">
                  <c:v>0.42857142857142855</c:v>
                </c:pt>
                <c:pt idx="11">
                  <c:v>0.5</c:v>
                </c:pt>
                <c:pt idx="12">
                  <c:v>0.35714285714285715</c:v>
                </c:pt>
                <c:pt idx="13">
                  <c:v>0.42857142857142855</c:v>
                </c:pt>
                <c:pt idx="14">
                  <c:v>0.21428571428571427</c:v>
                </c:pt>
                <c:pt idx="15">
                  <c:v>0.42857142857142855</c:v>
                </c:pt>
                <c:pt idx="16">
                  <c:v>0.6428571428571429</c:v>
                </c:pt>
                <c:pt idx="17">
                  <c:v>0.14285714285714285</c:v>
                </c:pt>
                <c:pt idx="18">
                  <c:v>0.35714285714285715</c:v>
                </c:pt>
                <c:pt idx="19">
                  <c:v>0.35714285714285715</c:v>
                </c:pt>
              </c:numCache>
            </c:numRef>
          </c:val>
          <c:extLst>
            <c:ext xmlns:c16="http://schemas.microsoft.com/office/drawing/2014/chart" uri="{C3380CC4-5D6E-409C-BE32-E72D297353CC}">
              <c16:uniqueId val="{00000001-AA85-4F97-BF7A-B13429364177}"/>
            </c:ext>
          </c:extLst>
        </c:ser>
        <c:dLbls>
          <c:showLegendKey val="0"/>
          <c:showVal val="0"/>
          <c:showCatName val="0"/>
          <c:showSerName val="0"/>
          <c:showPercent val="0"/>
          <c:showBubbleSize val="0"/>
        </c:dLbls>
        <c:gapWidth val="247"/>
        <c:axId val="455342504"/>
        <c:axId val="455344144"/>
        <c:extLst>
          <c:ext xmlns:c15="http://schemas.microsoft.com/office/drawing/2012/chart" uri="{02D57815-91ED-43cb-92C2-25804820EDAC}">
            <c15:filteredBarSeries>
              <c15:ser>
                <c:idx val="0"/>
                <c:order val="0"/>
                <c:tx>
                  <c:strRef>
                    <c:extLst>
                      <c:ext uri="{02D57815-91ED-43cb-92C2-25804820EDAC}">
                        <c15:formulaRef>
                          <c15:sqref>'Index of Suitability (IS)'!$E$34</c15:sqref>
                        </c15:formulaRef>
                      </c:ext>
                    </c:extLst>
                    <c:strCache>
                      <c:ptCount val="1"/>
                    </c:strCache>
                  </c:strRef>
                </c:tx>
                <c:spPr>
                  <a:solidFill>
                    <a:schemeClr val="accent1"/>
                  </a:solidFill>
                  <a:ln>
                    <a:noFill/>
                  </a:ln>
                  <a:effectLst/>
                </c:spPr>
                <c:invertIfNegative val="0"/>
                <c:cat>
                  <c:strRef>
                    <c:extLst>
                      <c:ext uri="{02D57815-91ED-43cb-92C2-25804820EDAC}">
                        <c15:formulaRef>
                          <c15:sqref>'Index of Suitability (IS)'!$D$35:$D$54</c15:sqref>
                        </c15:formulaRef>
                      </c:ext>
                    </c:extLst>
                    <c:strCache>
                      <c:ptCount val="20"/>
                      <c:pt idx="0">
                        <c:v>AHP</c:v>
                      </c:pt>
                      <c:pt idx="1">
                        <c:v>ELECTRE</c:v>
                      </c:pt>
                      <c:pt idx="2">
                        <c:v>PROMETHEE</c:v>
                      </c:pt>
                      <c:pt idx="3">
                        <c:v>TOPSIS</c:v>
                      </c:pt>
                      <c:pt idx="4">
                        <c:v>ANP</c:v>
                      </c:pt>
                      <c:pt idx="5">
                        <c:v>VIKOR</c:v>
                      </c:pt>
                      <c:pt idx="6">
                        <c:v>DEMATEL</c:v>
                      </c:pt>
                      <c:pt idx="7">
                        <c:v>MULTIMOORA</c:v>
                      </c:pt>
                      <c:pt idx="8">
                        <c:v>MOORA</c:v>
                      </c:pt>
                      <c:pt idx="9">
                        <c:v>WASPAS</c:v>
                      </c:pt>
                      <c:pt idx="10">
                        <c:v>COPRA</c:v>
                      </c:pt>
                      <c:pt idx="11">
                        <c:v>DEA</c:v>
                      </c:pt>
                      <c:pt idx="12">
                        <c:v>MAUT</c:v>
                      </c:pt>
                      <c:pt idx="13">
                        <c:v>MAVT</c:v>
                      </c:pt>
                      <c:pt idx="14">
                        <c:v>ASPID</c:v>
                      </c:pt>
                      <c:pt idx="15">
                        <c:v>BWM</c:v>
                      </c:pt>
                      <c:pt idx="16">
                        <c:v>EDAS</c:v>
                      </c:pt>
                      <c:pt idx="17">
                        <c:v>ERA</c:v>
                      </c:pt>
                      <c:pt idx="18">
                        <c:v>SMART</c:v>
                      </c:pt>
                      <c:pt idx="19">
                        <c:v>WSM</c:v>
                      </c:pt>
                    </c:strCache>
                  </c:strRef>
                </c:cat>
                <c:val>
                  <c:numRef>
                    <c:extLst>
                      <c:ext uri="{02D57815-91ED-43cb-92C2-25804820EDAC}">
                        <c15:formulaRef>
                          <c15:sqref>'Index of Suitability (IS)'!$E$35:$E$54</c15:sqref>
                        </c15:formulaRef>
                      </c:ext>
                    </c:extLst>
                    <c:numCache>
                      <c:formatCode>General</c:formatCode>
                      <c:ptCount val="20"/>
                    </c:numCache>
                  </c:numRef>
                </c:val>
                <c:extLst>
                  <c:ext xmlns:c16="http://schemas.microsoft.com/office/drawing/2014/chart" uri="{C3380CC4-5D6E-409C-BE32-E72D297353CC}">
                    <c16:uniqueId val="{00000000-AA85-4F97-BF7A-B13429364177}"/>
                  </c:ext>
                </c:extLst>
              </c15:ser>
            </c15:filteredBarSeries>
          </c:ext>
        </c:extLst>
      </c:barChart>
      <c:catAx>
        <c:axId val="455342504"/>
        <c:scaling>
          <c:orientation val="maxMin"/>
        </c:scaling>
        <c:delete val="1"/>
        <c:axPos val="l"/>
        <c:majorGridlines>
          <c:spPr>
            <a:ln w="9525" cap="flat" cmpd="sng" algn="ctr">
              <a:solidFill>
                <a:schemeClr val="accent6">
                  <a:lumMod val="40000"/>
                  <a:lumOff val="60000"/>
                  <a:alpha val="96000"/>
                </a:schemeClr>
              </a:solidFill>
              <a:round/>
            </a:ln>
            <a:effectLst/>
          </c:spPr>
        </c:majorGridlines>
        <c:numFmt formatCode="General" sourceLinked="1"/>
        <c:majorTickMark val="out"/>
        <c:minorTickMark val="none"/>
        <c:tickLblPos val="nextTo"/>
        <c:crossAx val="455344144"/>
        <c:crosses val="autoZero"/>
        <c:auto val="1"/>
        <c:lblAlgn val="ctr"/>
        <c:lblOffset val="100"/>
        <c:noMultiLvlLbl val="0"/>
      </c:catAx>
      <c:valAx>
        <c:axId val="455344144"/>
        <c:scaling>
          <c:orientation val="minMax"/>
        </c:scaling>
        <c:delete val="0"/>
        <c:axPos val="t"/>
        <c:majorGridlines>
          <c:spPr>
            <a:ln w="9525" cap="flat" cmpd="sng" algn="ctr">
              <a:solidFill>
                <a:schemeClr val="dk1">
                  <a:lumMod val="15000"/>
                  <a:lumOff val="85000"/>
                </a:schemeClr>
              </a:solidFill>
              <a:round/>
            </a:ln>
            <a:effectLst/>
          </c:spPr>
        </c:majorGridlines>
        <c:numFmt formatCode="0.0" sourceLinked="0"/>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en-US"/>
          </a:p>
        </c:txPr>
        <c:crossAx val="455342504"/>
        <c:crosses val="autoZero"/>
        <c:crossBetween val="between"/>
      </c:valAx>
      <c:spPr>
        <a:pattFill prst="lgCheck">
          <a:fgClr>
            <a:schemeClr val="accent6">
              <a:lumMod val="20000"/>
              <a:lumOff val="80000"/>
            </a:schemeClr>
          </a:fgClr>
          <a:bgClr>
            <a:schemeClr val="bg1"/>
          </a:bgClr>
        </a:pattFill>
        <a:ln>
          <a:noFill/>
        </a:ln>
        <a:effectLst/>
      </c:spPr>
    </c:plotArea>
    <c:plotVisOnly val="1"/>
    <c:dispBlanksAs val="gap"/>
    <c:showDLblsOverMax val="0"/>
  </c:chart>
  <c:spPr>
    <a:solidFill>
      <a:schemeClr val="lt1"/>
    </a:solidFill>
    <a:ln w="9525" cap="flat" cmpd="sng" algn="ctr">
      <a:solidFill>
        <a:schemeClr val="dk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21">
  <cs:axisTitle>
    <cs:lnRef idx="0"/>
    <cs:fillRef idx="0"/>
    <cs:effectRef idx="0"/>
    <cs:fontRef idx="minor">
      <a:schemeClr val="dk1">
        <a:lumMod val="65000"/>
        <a:lumOff val="35000"/>
      </a:schemeClr>
    </cs:fontRef>
    <cs:defRPr sz="900" b="1" kern="1200"/>
  </cs:axisTitle>
  <cs:categoryAxis>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900" kern="1200" cap="none" spc="0" normalizeH="0" baseline="0"/>
  </cs:categoryAxis>
  <cs:chartArea>
    <cs:lnRef idx="0"/>
    <cs:fillRef idx="0"/>
    <cs:effectRef idx="0"/>
    <cs:fontRef idx="minor">
      <a:schemeClr val="dk1"/>
    </cs:fontRef>
    <cs:spPr>
      <a:solidFill>
        <a:schemeClr val="lt1"/>
      </a:solidFill>
      <a:ln w="9525" cap="flat" cmpd="sng" algn="ctr">
        <a:solidFill>
          <a:schemeClr val="dk1">
            <a:lumMod val="15000"/>
            <a:lumOff val="85000"/>
          </a:schemeClr>
        </a:solidFill>
        <a:round/>
      </a:ln>
    </cs:spPr>
    <cs:defRPr sz="900" kern="1200"/>
  </cs:chartArea>
  <cs:dataLabel>
    <cs:lnRef idx="0"/>
    <cs:fillRef idx="0"/>
    <cs:effectRef idx="0"/>
    <cs:fontRef idx="minor">
      <a:schemeClr val="dk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cs:spPr>
  </cs:dataPoint>
  <cs:dataPoint3D>
    <cs:lnRef idx="0"/>
    <cs:fillRef idx="0">
      <cs:styleClr val="auto"/>
    </cs:fillRef>
    <cs:effectRef idx="0"/>
    <cs:fontRef idx="minor">
      <a:schemeClr val="dk1"/>
    </cs:fontRef>
    <cs:spPr>
      <a:solidFill>
        <a:schemeClr val="phClr"/>
      </a:solidFill>
    </cs:spPr>
  </cs:dataPoint3D>
  <cs:dataPointLine>
    <cs:lnRef idx="0">
      <cs:styleClr val="auto"/>
    </cs:lnRef>
    <cs:fillRef idx="0"/>
    <cs:effectRef idx="0"/>
    <cs:fontRef idx="minor">
      <a:schemeClr val="dk1"/>
    </cs:fontRef>
    <cs:spPr>
      <a:ln w="22225" cap="rnd">
        <a:solidFill>
          <a:schemeClr val="phClr"/>
        </a:solidFill>
        <a:round/>
      </a:ln>
    </cs:spPr>
  </cs:dataPointLine>
  <cs:dataPointMarker>
    <cs:lnRef idx="0">
      <cs:styleClr val="auto"/>
    </cs:lnRef>
    <cs:fillRef idx="0">
      <cs:styleClr val="auto"/>
    </cs:fillRef>
    <cs:effectRef idx="0"/>
    <cs:fontRef idx="minor">
      <a:schemeClr val="dk1"/>
    </cs:fontRef>
    <cs:spPr>
      <a:solidFill>
        <a:schemeClr val="lt1"/>
      </a:solidFill>
      <a:ln w="15875">
        <a:solidFill>
          <a:schemeClr val="phClr"/>
        </a:solidFill>
        <a:round/>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800" kern="1200"/>
  </cs:dataTable>
  <cs:downBar>
    <cs:lnRef idx="0"/>
    <cs:fillRef idx="0"/>
    <cs:effectRef idx="0"/>
    <cs:fontRef idx="minor">
      <a:schemeClr val="dk1"/>
    </cs:fontRef>
    <cs:spPr>
      <a:solidFill>
        <a:schemeClr val="dk1">
          <a:lumMod val="75000"/>
          <a:lumOff val="25000"/>
        </a:schemeClr>
      </a:solidFill>
      <a:ln w="9525" cap="flat" cmpd="sng" algn="ctr">
        <a:solidFill>
          <a:schemeClr val="dk1">
            <a:lumMod val="50000"/>
            <a:lumOff val="50000"/>
          </a:schemeClr>
        </a:solidFill>
        <a:round/>
      </a:ln>
    </cs:spPr>
  </cs:downBar>
  <cs:dropLine>
    <cs:lnRef idx="0"/>
    <cs:fillRef idx="0"/>
    <cs:effectRef idx="0"/>
    <cs:fontRef idx="minor">
      <a:schemeClr val="dk1"/>
    </cs:fontRef>
    <cs:spPr>
      <a:ln w="9525" cap="flat" cmpd="sng" algn="ctr">
        <a:solidFill>
          <a:schemeClr val="dk1">
            <a:lumMod val="35000"/>
            <a:lumOff val="65000"/>
          </a:schemeClr>
        </a:solidFill>
        <a:round/>
      </a:ln>
    </cs:spPr>
  </cs:dropLine>
  <cs:errorBar>
    <cs:lnRef idx="0"/>
    <cs:fillRef idx="0"/>
    <cs:effectRef idx="0"/>
    <cs:fontRef idx="minor">
      <a:schemeClr val="dk1"/>
    </cs:fontRef>
    <cs:spPr>
      <a:ln w="9525" cap="flat" cmpd="sng" algn="ctr">
        <a:solidFill>
          <a:schemeClr val="dk1">
            <a:lumMod val="50000"/>
            <a:lumOff val="50000"/>
          </a:schemeClr>
        </a:solidFill>
        <a:round/>
      </a:ln>
    </cs:spPr>
  </cs:errorBar>
  <cs:floor>
    <cs:lnRef idx="0"/>
    <cs:fillRef idx="0"/>
    <cs:effectRef idx="0"/>
    <cs:fontRef idx="minor">
      <a:schemeClr val="dk1"/>
    </cs:fontRef>
    <cs:spPr>
      <a:pattFill prst="ltDnDiag">
        <a:fgClr>
          <a:schemeClr val="dk1">
            <a:lumMod val="15000"/>
            <a:lumOff val="85000"/>
          </a:schemeClr>
        </a:fgClr>
        <a:bgClr>
          <a:schemeClr val="lt1"/>
        </a:bgClr>
      </a:pattFill>
    </cs:spPr>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w="9525" cap="flat" cmpd="sng" algn="ctr">
        <a:solidFill>
          <a:schemeClr val="dk1">
            <a:lumMod val="5000"/>
            <a:lumOff val="95000"/>
          </a:schemeClr>
        </a:solidFill>
        <a:round/>
      </a:ln>
    </cs:spPr>
  </cs:gridlineMinor>
  <cs:hiLoLine>
    <cs:lnRef idx="0"/>
    <cs:fillRef idx="0"/>
    <cs:effectRef idx="0"/>
    <cs:fontRef idx="minor">
      <a:schemeClr val="dk1"/>
    </cs:fontRef>
    <cs:spPr>
      <a:ln w="9525" cap="flat" cmpd="sng" algn="ctr">
        <a:solidFill>
          <a:schemeClr val="dk1">
            <a:lumMod val="35000"/>
            <a:lumOff val="65000"/>
          </a:schemeClr>
        </a:solidFill>
        <a:round/>
      </a:ln>
    </cs:spPr>
  </cs:hiLoLine>
  <cs:leaderLine>
    <cs:lnRef idx="0"/>
    <cs:fillRef idx="0"/>
    <cs:effectRef idx="0"/>
    <cs:fontRef idx="minor">
      <a:schemeClr val="dk1"/>
    </cs:fontRef>
    <cs:spPr>
      <a:ln w="9525" cap="flat" cmpd="sng" algn="ctr">
        <a:solidFill>
          <a:schemeClr val="dk1">
            <a:lumMod val="35000"/>
            <a:lumOff val="65000"/>
          </a:schemeClr>
        </a:solidFill>
        <a:round/>
      </a:ln>
    </cs:spPr>
  </cs:leaderLine>
  <cs:legend>
    <cs:lnRef idx="0"/>
    <cs:fillRef idx="0"/>
    <cs:effectRef idx="0"/>
    <cs:fontRef idx="minor">
      <a:schemeClr val="dk1">
        <a:lumMod val="65000"/>
        <a:lumOff val="35000"/>
      </a:schemeClr>
    </cs:fontRef>
    <cs:defRPr sz="900" kern="1200"/>
  </cs:legend>
  <cs:plotArea>
    <cs:lnRef idx="0"/>
    <cs:fillRef idx="0"/>
    <cs:effectRef idx="0"/>
    <cs:fontRef idx="minor">
      <a:schemeClr val="dk1"/>
    </cs:fontRef>
    <cs:spPr>
      <a:pattFill prst="ltDnDiag">
        <a:fgClr>
          <a:schemeClr val="dk1">
            <a:lumMod val="15000"/>
            <a:lumOff val="85000"/>
          </a:schemeClr>
        </a:fgClr>
        <a:bgClr>
          <a:schemeClr val="lt1"/>
        </a:bgClr>
      </a:pattFill>
    </cs:spPr>
  </cs:plotArea>
  <cs:plotArea3D>
    <cs:lnRef idx="0"/>
    <cs:fillRef idx="0"/>
    <cs:effectRef idx="0"/>
    <cs:fontRef idx="minor">
      <a:schemeClr val="dk1"/>
    </cs:fontRef>
    <cs:spPr>
      <a:solidFill>
        <a:schemeClr val="lt1"/>
      </a:solidFill>
    </cs:spPr>
  </cs:plotArea3D>
  <cs:seriesAxis>
    <cs:lnRef idx="0"/>
    <cs:fillRef idx="0"/>
    <cs:effectRef idx="0"/>
    <cs:fontRef idx="minor">
      <a:schemeClr val="dk1">
        <a:lumMod val="65000"/>
        <a:lumOff val="35000"/>
      </a:schemeClr>
    </cs:fontRef>
    <cs:defRPr sz="900" kern="1200"/>
  </cs:seriesAxis>
  <cs:seriesLine>
    <cs:lnRef idx="0"/>
    <cs:fillRef idx="0"/>
    <cs:effectRef idx="0"/>
    <cs:fontRef idx="minor">
      <a:schemeClr val="dk1"/>
    </cs:fontRef>
    <cs:spPr>
      <a:ln w="9525" cap="flat" cmpd="sng" algn="ctr">
        <a:solidFill>
          <a:schemeClr val="dk1">
            <a:lumMod val="35000"/>
            <a:lumOff val="65000"/>
          </a:schemeClr>
        </a:solidFill>
        <a:round/>
      </a:ln>
    </cs:spPr>
  </cs:seriesLine>
  <cs:title>
    <cs:lnRef idx="0"/>
    <cs:fillRef idx="0"/>
    <cs:effectRef idx="0"/>
    <cs:fontRef idx="major">
      <a:schemeClr val="dk1">
        <a:lumMod val="50000"/>
        <a:lumOff val="50000"/>
      </a:schemeClr>
    </cs:fontRef>
    <cs:defRPr sz="1600" b="1" kern="1200" cap="none" spc="0" normalizeH="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65000"/>
        <a:lumOff val="35000"/>
      </a:schemeClr>
    </cs:fontRef>
    <cs:defRPr sz="900" kern="1200"/>
  </cs:trendlineLabel>
  <cs:upBar>
    <cs:lnRef idx="0"/>
    <cs:fillRef idx="0"/>
    <cs:effectRef idx="0"/>
    <cs:fontRef idx="minor">
      <a:schemeClr val="dk1"/>
    </cs:fontRef>
    <cs:spPr>
      <a:solidFill>
        <a:schemeClr val="lt1"/>
      </a:solidFill>
      <a:ln w="9525" cap="flat" cmpd="sng" algn="ctr">
        <a:solidFill>
          <a:schemeClr val="dk1">
            <a:lumMod val="50000"/>
            <a:lumOff val="50000"/>
          </a:schemeClr>
        </a:solidFill>
        <a:round/>
      </a:ln>
    </cs:spPr>
  </cs:upBar>
  <cs:valueAxis>
    <cs:lnRef idx="0"/>
    <cs:fillRef idx="0"/>
    <cs:effectRef idx="0"/>
    <cs:fontRef idx="minor">
      <a:schemeClr val="dk1">
        <a:lumMod val="65000"/>
        <a:lumOff val="35000"/>
      </a:schemeClr>
    </cs:fontRef>
    <cs:defRPr sz="900" kern="1200"/>
  </cs:valueAxis>
  <cs:wall>
    <cs:lnRef idx="0"/>
    <cs:fillRef idx="0"/>
    <cs:effectRef idx="0"/>
    <cs:fontRef idx="minor">
      <a:schemeClr val="dk1"/>
    </cs:fontRef>
    <cs:spPr>
      <a:pattFill prst="ltDnDiag">
        <a:fgClr>
          <a:schemeClr val="dk1">
            <a:lumMod val="15000"/>
            <a:lumOff val="85000"/>
          </a:schemeClr>
        </a:fgClr>
        <a:bgClr>
          <a:schemeClr val="lt1"/>
        </a:bgClr>
      </a:pattFill>
    </cs:spPr>
  </cs:wall>
</cs:chartStyle>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chart" Target="../charts/chart1.xml"/><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xdr:from>
      <xdr:col>2</xdr:col>
      <xdr:colOff>2724150</xdr:colOff>
      <xdr:row>7</xdr:row>
      <xdr:rowOff>31751</xdr:rowOff>
    </xdr:from>
    <xdr:to>
      <xdr:col>2</xdr:col>
      <xdr:colOff>3757084</xdr:colOff>
      <xdr:row>12</xdr:row>
      <xdr:rowOff>148168</xdr:rowOff>
    </xdr:to>
    <xdr:sp macro="" textlink="">
      <xdr:nvSpPr>
        <xdr:cNvPr id="2" name="Freeform 1"/>
        <xdr:cNvSpPr/>
      </xdr:nvSpPr>
      <xdr:spPr>
        <a:xfrm>
          <a:off x="3126317" y="1259418"/>
          <a:ext cx="1032934" cy="1016000"/>
        </a:xfrm>
        <a:custGeom>
          <a:avLst/>
          <a:gdLst/>
          <a:ahLst/>
          <a:cxnLst/>
          <a:rect l="l" t="t" r="r" b="b"/>
          <a:pathLst>
            <a:path w="554248" h="578557">
              <a:moveTo>
                <a:pt x="0" y="0"/>
              </a:moveTo>
              <a:lnTo>
                <a:pt x="554248" y="0"/>
              </a:lnTo>
              <a:lnTo>
                <a:pt x="554248" y="578557"/>
              </a:lnTo>
              <a:lnTo>
                <a:pt x="0" y="578557"/>
              </a:lnTo>
              <a:lnTo>
                <a:pt x="0" y="0"/>
              </a:lnTo>
              <a:close/>
            </a:path>
          </a:pathLst>
        </a:custGeom>
        <a:blipFill>
          <a:blip xmlns:r="http://schemas.openxmlformats.org/officeDocument/2006/relationships" r:embed="rId1"/>
          <a:stretch>
            <a:fillRect/>
          </a:stretch>
        </a:blipFill>
      </xdr:spPr>
      <xdr:txBody>
        <a:bodyPr wrap="square"/>
        <a:lstStyle/>
        <a:p>
          <a:endParaRPr lang="en-GB"/>
        </a:p>
      </xdr:txBody>
    </xdr:sp>
    <xdr:clientData/>
  </xdr:twoCellAnchor>
  <xdr:twoCellAnchor editAs="oneCell">
    <xdr:from>
      <xdr:col>3</xdr:col>
      <xdr:colOff>1693333</xdr:colOff>
      <xdr:row>6</xdr:row>
      <xdr:rowOff>42331</xdr:rowOff>
    </xdr:from>
    <xdr:to>
      <xdr:col>3</xdr:col>
      <xdr:colOff>4386796</xdr:colOff>
      <xdr:row>11</xdr:row>
      <xdr:rowOff>169333</xdr:rowOff>
    </xdr:to>
    <xdr:pic>
      <xdr:nvPicPr>
        <xdr:cNvPr id="3" name="Picture 2" descr="C:\Users\user\Documents\ARU - Thesis\Paper 3\ASIM-e1706083461558.png"/>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a:ext>
          </a:extLst>
        </a:blip>
        <a:srcRect/>
        <a:stretch>
          <a:fillRect/>
        </a:stretch>
      </xdr:blipFill>
      <xdr:spPr bwMode="auto">
        <a:xfrm>
          <a:off x="6720416" y="1280581"/>
          <a:ext cx="2693463" cy="102658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3</xdr:col>
      <xdr:colOff>6349</xdr:colOff>
      <xdr:row>5</xdr:row>
      <xdr:rowOff>0</xdr:rowOff>
    </xdr:from>
    <xdr:to>
      <xdr:col>4</xdr:col>
      <xdr:colOff>63500</xdr:colOff>
      <xdr:row>6</xdr:row>
      <xdr:rowOff>0</xdr:rowOff>
    </xdr:to>
    <xdr:sp macro="" textlink="">
      <xdr:nvSpPr>
        <xdr:cNvPr id="5" name="Pentagon 4"/>
        <xdr:cNvSpPr/>
      </xdr:nvSpPr>
      <xdr:spPr>
        <a:xfrm>
          <a:off x="2457449" y="2184400"/>
          <a:ext cx="1289051" cy="787400"/>
        </a:xfrm>
        <a:prstGeom prst="homePlate">
          <a:avLst/>
        </a:prstGeom>
        <a:solidFill>
          <a:schemeClr val="bg1">
            <a:lumMod val="95000"/>
          </a:schemeClr>
        </a:solidFill>
      </xdr:spPr>
      <xdr:style>
        <a:lnRef idx="0">
          <a:schemeClr val="accent1"/>
        </a:lnRef>
        <a:fillRef idx="3">
          <a:schemeClr val="accent1"/>
        </a:fillRef>
        <a:effectRef idx="3">
          <a:schemeClr val="accent1"/>
        </a:effectRef>
        <a:fontRef idx="minor">
          <a:schemeClr val="lt1"/>
        </a:fontRef>
      </xdr:style>
      <xdr:txBody>
        <a:bodyPr vertOverflow="clip" horzOverflow="clip" rtlCol="0" anchor="ctr"/>
        <a:lstStyle/>
        <a:p>
          <a:pPr algn="l"/>
          <a:r>
            <a:rPr lang="en-GB" sz="1000" b="1" i="0" u="none" strike="noStrike">
              <a:solidFill>
                <a:schemeClr val="accent5">
                  <a:lumMod val="75000"/>
                </a:schemeClr>
              </a:solidFill>
              <a:effectLst/>
              <a:latin typeface="Palatino Linotype" panose="02040502050505030304" pitchFamily="18" charset="0"/>
              <a:ea typeface="+mn-ea"/>
              <a:cs typeface="+mn-cs"/>
            </a:rPr>
            <a:t>Kindly read the intruction at the lower right of this page</a:t>
          </a:r>
          <a:r>
            <a:rPr lang="en-GB" sz="1000" b="1" i="0" u="none" strike="noStrike">
              <a:solidFill>
                <a:schemeClr val="accent5">
                  <a:lumMod val="75000"/>
                </a:schemeClr>
              </a:solidFill>
              <a:effectLst/>
              <a:latin typeface="+mn-lt"/>
              <a:ea typeface="+mn-ea"/>
              <a:cs typeface="+mn-cs"/>
            </a:rPr>
            <a:t>.</a:t>
          </a:r>
          <a:endParaRPr lang="en-GB" sz="1000" b="1">
            <a:solidFill>
              <a:schemeClr val="accent5">
                <a:lumMod val="75000"/>
              </a:schemeClr>
            </a:solidFill>
          </a:endParaRPr>
        </a:p>
      </xdr:txBody>
    </xdr:sp>
    <xdr:clientData/>
  </xdr:twoCellAnchor>
  <xdr:twoCellAnchor editAs="oneCell">
    <xdr:from>
      <xdr:col>6</xdr:col>
      <xdr:colOff>67733</xdr:colOff>
      <xdr:row>31</xdr:row>
      <xdr:rowOff>63500</xdr:rowOff>
    </xdr:from>
    <xdr:to>
      <xdr:col>10</xdr:col>
      <xdr:colOff>761999</xdr:colOff>
      <xdr:row>33</xdr:row>
      <xdr:rowOff>165099</xdr:rowOff>
    </xdr:to>
    <xdr:pic>
      <xdr:nvPicPr>
        <xdr:cNvPr id="6" name="Picture 5"/>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a:ext>
          </a:extLst>
        </a:blip>
        <a:srcRect/>
        <a:stretch/>
      </xdr:blipFill>
      <xdr:spPr>
        <a:xfrm rot="10800000" flipV="1">
          <a:off x="5376333" y="8204200"/>
          <a:ext cx="5774266" cy="215899"/>
        </a:xfrm>
        <a:prstGeom prst="rect">
          <a:avLst/>
        </a:prstGeom>
      </xdr:spPr>
    </xdr:pic>
    <xdr:clientData/>
  </xdr:twoCellAnchor>
  <xdr:twoCellAnchor>
    <xdr:from>
      <xdr:col>6</xdr:col>
      <xdr:colOff>106801</xdr:colOff>
      <xdr:row>33</xdr:row>
      <xdr:rowOff>161925</xdr:rowOff>
    </xdr:from>
    <xdr:to>
      <xdr:col>10</xdr:col>
      <xdr:colOff>719157</xdr:colOff>
      <xdr:row>55</xdr:row>
      <xdr:rowOff>0</xdr:rowOff>
    </xdr:to>
    <xdr:graphicFrame macro="">
      <xdr:nvGraphicFramePr>
        <xdr:cNvPr id="4" name="Chart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tables/table1.xml><?xml version="1.0" encoding="utf-8"?>
<table xmlns="http://schemas.openxmlformats.org/spreadsheetml/2006/main" id="3" name="Table3" displayName="Table3" ref="A2:V6" totalsRowShown="0" headerRowDxfId="163" dataDxfId="162">
  <autoFilter ref="A2:V6"/>
  <tableColumns count="22">
    <tableColumn id="1" name="ID" dataDxfId="161"/>
    <tableColumn id="2" name="Size of evaluation elements" dataDxfId="160"/>
    <tableColumn id="3" name="AHP" dataDxfId="159"/>
    <tableColumn id="4" name="ELECTRE" dataDxfId="158"/>
    <tableColumn id="5" name="PROMETHEE" dataDxfId="157"/>
    <tableColumn id="6" name="TOPSIS" dataDxfId="156"/>
    <tableColumn id="7" name="ANP" dataDxfId="155"/>
    <tableColumn id="8" name="VIKOR" dataDxfId="154"/>
    <tableColumn id="9" name="DEMATEL" dataDxfId="153"/>
    <tableColumn id="10" name="MULTIMOORA" dataDxfId="152"/>
    <tableColumn id="11" name="MOORA" dataDxfId="151"/>
    <tableColumn id="12" name="WASPAS" dataDxfId="150"/>
    <tableColumn id="13" name="COPRA" dataDxfId="149"/>
    <tableColumn id="14" name="DEA" dataDxfId="148"/>
    <tableColumn id="15" name="MAUT"/>
    <tableColumn id="16" name="MAVT"/>
    <tableColumn id="17" name="ASPID" dataDxfId="147"/>
    <tableColumn id="18" name="BWM" dataDxfId="146"/>
    <tableColumn id="19" name="EDAS" dataDxfId="145"/>
    <tableColumn id="20" name="ERA" dataDxfId="144"/>
    <tableColumn id="21" name="SMART" dataDxfId="143"/>
    <tableColumn id="22" name="WSM" dataDxfId="142"/>
  </tableColumns>
  <tableStyleInfo name="TableStyleMedium2" showFirstColumn="0" showLastColumn="0" showRowStripes="1" showColumnStripes="0"/>
</table>
</file>

<file path=xl/tables/table2.xml><?xml version="1.0" encoding="utf-8"?>
<table xmlns="http://schemas.openxmlformats.org/spreadsheetml/2006/main" id="4" name="Table4" displayName="Table4" ref="A2:V5" totalsRowShown="0" headerRowDxfId="141" dataDxfId="140">
  <autoFilter ref="A2:V5"/>
  <tableColumns count="22">
    <tableColumn id="1" name="ID" dataDxfId="139"/>
    <tableColumn id="2" name="Nature of Indicators’ values/" dataDxfId="138"/>
    <tableColumn id="3" name="AHP"/>
    <tableColumn id="4" name="ELECTRE"/>
    <tableColumn id="5" name="PROMETHEE" dataDxfId="137"/>
    <tableColumn id="6" name="TOPSIS" dataDxfId="136"/>
    <tableColumn id="7" name="ANP"/>
    <tableColumn id="8" name="VIKOR"/>
    <tableColumn id="9" name="DEMATEL"/>
    <tableColumn id="10" name="MULTIMOORA"/>
    <tableColumn id="11" name="MOORA"/>
    <tableColumn id="12" name="WASPAS" dataDxfId="135"/>
    <tableColumn id="13" name="COPRA" dataDxfId="134"/>
    <tableColumn id="14" name="DEA"/>
    <tableColumn id="15" name="MAUT" dataDxfId="133"/>
    <tableColumn id="16" name="MAVT" dataDxfId="132"/>
    <tableColumn id="17" name="ASPID"/>
    <tableColumn id="18" name="BWM" dataDxfId="131"/>
    <tableColumn id="19" name="EDAS"/>
    <tableColumn id="20" name="ERA"/>
    <tableColumn id="21" name="SMART" dataDxfId="130"/>
    <tableColumn id="22" name="WSM" dataDxfId="129"/>
  </tableColumns>
  <tableStyleInfo name="TableStyleMedium2" showFirstColumn="0" showLastColumn="0" showRowStripes="1" showColumnStripes="0"/>
</table>
</file>

<file path=xl/tables/table3.xml><?xml version="1.0" encoding="utf-8"?>
<table xmlns="http://schemas.openxmlformats.org/spreadsheetml/2006/main" id="5" name="Table5" displayName="Table5" ref="A2:V5" totalsRowShown="0" headerRowDxfId="128">
  <autoFilter ref="A2:V5"/>
  <tableColumns count="22">
    <tableColumn id="1" name="ID" dataDxfId="127"/>
    <tableColumn id="2" name="Number of decision-makers" dataDxfId="126"/>
    <tableColumn id="3" name="AHP"/>
    <tableColumn id="4" name="ELECTRE"/>
    <tableColumn id="5" name="PROMETHEE"/>
    <tableColumn id="6" name="TOPSIS"/>
    <tableColumn id="7" name="ANP"/>
    <tableColumn id="8" name="VIKOR"/>
    <tableColumn id="9" name="DEMATEL"/>
    <tableColumn id="10" name="MULTIMOORA"/>
    <tableColumn id="11" name="MOORA"/>
    <tableColumn id="12" name="WASPAS"/>
    <tableColumn id="13" name="COPRA"/>
    <tableColumn id="14" name="DEA"/>
    <tableColumn id="15" name="MAUT"/>
    <tableColumn id="16" name="MAVT"/>
    <tableColumn id="17" name="ASPID"/>
    <tableColumn id="18" name="BWM"/>
    <tableColumn id="19" name="EDAS"/>
    <tableColumn id="20" name="ERA"/>
    <tableColumn id="21" name="SMART"/>
    <tableColumn id="22" name="WSM"/>
  </tableColumns>
  <tableStyleInfo name="TableStyleMedium6" showFirstColumn="0" showLastColumn="0" showRowStripes="1" showColumnStripes="0"/>
</table>
</file>

<file path=xl/tables/table4.xml><?xml version="1.0" encoding="utf-8"?>
<table xmlns="http://schemas.openxmlformats.org/spreadsheetml/2006/main" id="6" name="Table6" displayName="Table6" ref="A2:V5" totalsRowShown="0" headerRowDxfId="125">
  <autoFilter ref="A2:V5"/>
  <tableColumns count="22">
    <tableColumn id="1" name="ID" dataDxfId="124"/>
    <tableColumn id="2" name="Type of solution" dataDxfId="123"/>
    <tableColumn id="3" name="AHP"/>
    <tableColumn id="4" name="ELECTRE"/>
    <tableColumn id="5" name="PROMETHEE"/>
    <tableColumn id="6" name="TOPSIS"/>
    <tableColumn id="7" name="ANP"/>
    <tableColumn id="8" name="VIKOR"/>
    <tableColumn id="9" name="DEMATEL" dataDxfId="122"/>
    <tableColumn id="10" name="MULTIMOORA"/>
    <tableColumn id="11" name="MOORA"/>
    <tableColumn id="12" name="WASPAS"/>
    <tableColumn id="13" name="COPRA"/>
    <tableColumn id="14" name="DEA"/>
    <tableColumn id="15" name="MAUT"/>
    <tableColumn id="16" name="MAVT"/>
    <tableColumn id="17" name="ASPID"/>
    <tableColumn id="18" name="BWM"/>
    <tableColumn id="19" name="EDAS"/>
    <tableColumn id="20" name="ERA" dataDxfId="121"/>
    <tableColumn id="21" name="SMART"/>
    <tableColumn id="22" name="WSM"/>
  </tableColumns>
  <tableStyleInfo name="TableStyleMedium2" showFirstColumn="0" showLastColumn="0" showRowStripes="1" showColumnStripes="0"/>
</table>
</file>

<file path=xl/tables/table5.xml><?xml version="1.0" encoding="utf-8"?>
<table xmlns="http://schemas.openxmlformats.org/spreadsheetml/2006/main" id="7" name="Table7" displayName="Table7" ref="A2:V4" totalsRowShown="0" headerRowDxfId="120" dataDxfId="119">
  <autoFilter ref="A2:V4"/>
  <tableColumns count="22">
    <tableColumn id="1" name="ID" dataDxfId="118"/>
    <tableColumn id="2" name="Technical Support" dataDxfId="117"/>
    <tableColumn id="3" name="AHP" dataDxfId="116"/>
    <tableColumn id="4" name="ELECTRE" dataDxfId="115"/>
    <tableColumn id="5" name="PROMETHEE" dataDxfId="114"/>
    <tableColumn id="6" name="TOPSIS" dataDxfId="113"/>
    <tableColumn id="7" name="ANP" dataDxfId="112"/>
    <tableColumn id="8" name="VIKOR" dataDxfId="111"/>
    <tableColumn id="9" name="DEMATEL" dataDxfId="110"/>
    <tableColumn id="10" name="MULTIMOORA" dataDxfId="109"/>
    <tableColumn id="11" name="MOORA" dataDxfId="108"/>
    <tableColumn id="12" name="WASPAS" dataDxfId="107"/>
    <tableColumn id="13" name="COPRA" dataDxfId="106"/>
    <tableColumn id="14" name="DEA" dataDxfId="105"/>
    <tableColumn id="15" name="MAUT" dataDxfId="104"/>
    <tableColumn id="16" name="MAVT" dataDxfId="103"/>
    <tableColumn id="17" name="ASPID" dataDxfId="102"/>
    <tableColumn id="18" name="BWM" dataDxfId="101"/>
    <tableColumn id="19" name="EDAS" dataDxfId="100"/>
    <tableColumn id="20" name="ERA" dataDxfId="99"/>
    <tableColumn id="21" name="SMART" dataDxfId="98"/>
    <tableColumn id="22" name="WSM" dataDxfId="97"/>
  </tableColumns>
  <tableStyleInfo name="TableStyleMedium2" showFirstColumn="0" showLastColumn="0" showRowStripes="1" showColumnStripes="0"/>
</table>
</file>

<file path=xl/tables/table6.xml><?xml version="1.0" encoding="utf-8"?>
<table xmlns="http://schemas.openxmlformats.org/spreadsheetml/2006/main" id="8" name="Table8" displayName="Table8" ref="A2:V6" totalsRowShown="0" headerRowDxfId="96" tableBorderDxfId="95">
  <autoFilter ref="A2:V6"/>
  <tableColumns count="22">
    <tableColumn id="1" name="ID" dataDxfId="94"/>
    <tableColumn id="2" name="Type of decision-making problem" dataDxfId="93"/>
    <tableColumn id="3" name="AHP" dataDxfId="92"/>
    <tableColumn id="4" name="ELECTRE"/>
    <tableColumn id="5" name="PROMETHEE"/>
    <tableColumn id="6" name="TOPSIS"/>
    <tableColumn id="7" name="ANP"/>
    <tableColumn id="8" name="VIKOR"/>
    <tableColumn id="9" name="DEMATEL"/>
    <tableColumn id="10" name="MULTIMOORA"/>
    <tableColumn id="11" name="MOORA"/>
    <tableColumn id="12" name="WASPAS"/>
    <tableColumn id="13" name="COPRA"/>
    <tableColumn id="14" name="DEA"/>
    <tableColumn id="15" name="MAUT"/>
    <tableColumn id="16" name="MAVT"/>
    <tableColumn id="17" name="ASPID"/>
    <tableColumn id="18" name="BWM"/>
    <tableColumn id="19" name="EDAS"/>
    <tableColumn id="20" name="ERA"/>
    <tableColumn id="21" name="SMART"/>
    <tableColumn id="22" name="WSM"/>
  </tableColumns>
  <tableStyleInfo name="TableStyleMedium2" showFirstColumn="0" showLastColumn="0" showRowStripes="1" showColumnStripes="0"/>
</table>
</file>

<file path=xl/tables/table7.xml><?xml version="1.0" encoding="utf-8"?>
<table xmlns="http://schemas.openxmlformats.org/spreadsheetml/2006/main" id="16" name="Table16" displayName="Table16" ref="A2:V6" totalsRowShown="0" headerRowDxfId="91" dataDxfId="89" headerRowBorderDxfId="90" tableBorderDxfId="88" totalsRowBorderDxfId="87">
  <autoFilter ref="A2:V6"/>
  <tableColumns count="22">
    <tableColumn id="1" name="ID" dataDxfId="86"/>
    <tableColumn id="2" name="Solution Approach" dataDxfId="85"/>
    <tableColumn id="3" name="AHP" dataDxfId="84"/>
    <tableColumn id="4" name="ELECTRE" dataDxfId="83"/>
    <tableColumn id="5" name="PROMETHEE" dataDxfId="82"/>
    <tableColumn id="6" name="TOPSIS" dataDxfId="81"/>
    <tableColumn id="7" name="ANP" dataDxfId="80"/>
    <tableColumn id="8" name="VIKOR" dataDxfId="79"/>
    <tableColumn id="9" name="DEMATEL" dataDxfId="78"/>
    <tableColumn id="10" name="MULTIMOORA" dataDxfId="77"/>
    <tableColumn id="11" name="MOORA" dataDxfId="76"/>
    <tableColumn id="12" name="WASPAS" dataDxfId="75"/>
    <tableColumn id="13" name="COPRA"/>
    <tableColumn id="14" name="DEA" dataDxfId="74"/>
    <tableColumn id="15" name="MAUT" dataDxfId="73"/>
    <tableColumn id="16" name="MAVT" dataDxfId="72"/>
    <tableColumn id="17" name="ASPID" dataDxfId="71"/>
    <tableColumn id="18" name="BWM" dataDxfId="70"/>
    <tableColumn id="19" name="EDAS" dataDxfId="69"/>
    <tableColumn id="20" name="ERA" dataDxfId="68"/>
    <tableColumn id="21" name="SMART" dataDxfId="67"/>
    <tableColumn id="22" name="WSM" dataDxfId="66"/>
  </tableColumns>
  <tableStyleInfo name="TableStyleMedium6" showFirstColumn="0" showLastColumn="0" showRowStripes="1" showColumnStripes="0"/>
</table>
</file>

<file path=xl/tables/table8.xml><?xml version="1.0" encoding="utf-8"?>
<table xmlns="http://schemas.openxmlformats.org/spreadsheetml/2006/main" id="15" name="Table15" displayName="Table15" ref="A2:V5" totalsRowShown="0">
  <autoFilter ref="A2:V5"/>
  <tableColumns count="22">
    <tableColumn id="1" name="ID"/>
    <tableColumn id="2" name="Ease of use" dataDxfId="65"/>
    <tableColumn id="3" name="AHP"/>
    <tableColumn id="4" name="ELECTRE"/>
    <tableColumn id="5" name="PROMETHEE"/>
    <tableColumn id="6" name="TOPSIS"/>
    <tableColumn id="7" name="ANP"/>
    <tableColumn id="8" name="VIKOR"/>
    <tableColumn id="9" name="DEMATEL"/>
    <tableColumn id="10" name="MULTIMOORA"/>
    <tableColumn id="11" name="MOORA"/>
    <tableColumn id="12" name="WASPAS"/>
    <tableColumn id="13" name="COPRA"/>
    <tableColumn id="14" name="DEA"/>
    <tableColumn id="15" name="MAUT"/>
    <tableColumn id="16" name="MAVT"/>
    <tableColumn id="17" name="ASPID"/>
    <tableColumn id="18" name="BWM"/>
    <tableColumn id="19" name="EDAS"/>
    <tableColumn id="20" name="ERA"/>
    <tableColumn id="21" name="SMART"/>
    <tableColumn id="22" name="WSM"/>
  </tableColumns>
  <tableStyleInfo name="TableStyleMedium13" showFirstColumn="0" showLastColumn="0" showRowStripes="1" showColumnStripes="0"/>
</table>
</file>

<file path=xl/tables/table9.xml><?xml version="1.0" encoding="utf-8"?>
<table xmlns="http://schemas.openxmlformats.org/spreadsheetml/2006/main" id="14" name="Table14" displayName="Table14" ref="A2:V16" totalsRowShown="0" headerRowDxfId="64" headerRowBorderDxfId="63" tableBorderDxfId="62" totalsRowBorderDxfId="61">
  <autoFilter ref="A2:V16"/>
  <tableColumns count="22">
    <tableColumn id="1" name="ID" dataDxfId="60"/>
    <tableColumn id="2" name="Implementation procedure"/>
    <tableColumn id="3" name="AHP"/>
    <tableColumn id="4" name="ELECTRE"/>
    <tableColumn id="5" name="PROMETHEE"/>
    <tableColumn id="6" name="TOPSIS"/>
    <tableColumn id="7" name="ANP"/>
    <tableColumn id="8" name="VIKOR"/>
    <tableColumn id="9" name="DEMATEL"/>
    <tableColumn id="10" name="MULTIMOORA"/>
    <tableColumn id="11" name="MOORA"/>
    <tableColumn id="12" name="WASPAS"/>
    <tableColumn id="13" name="COPRA"/>
    <tableColumn id="14" name="DEA"/>
    <tableColumn id="15" name="MAUT"/>
    <tableColumn id="16" name="MAVT"/>
    <tableColumn id="17" name="ASPID"/>
    <tableColumn id="18" name="BWM"/>
    <tableColumn id="19" name="EDAS"/>
    <tableColumn id="20" name="ERA"/>
    <tableColumn id="21" name="SMART"/>
    <tableColumn id="22" name="WSM"/>
  </tableColumns>
  <tableStyleInfo name="TableStyleMedium13" showFirstColumn="0" showLastColumn="0" showRowStripes="1" showColumnStripes="0"/>
</table>
</file>

<file path=xl/tables/table10.xml><?xml version="1.0" encoding="utf-8"?>
<table xmlns="http://schemas.openxmlformats.org/spreadsheetml/2006/main" id="13" name="Table13" displayName="Table13" ref="A2:V8" totalsRowShown="0" headerRowDxfId="59" dataDxfId="58">
  <autoFilter ref="A2:V8"/>
  <tableColumns count="22">
    <tableColumn id="1" name="ID" dataDxfId="57"/>
    <tableColumn id="2" name="Output Typology" dataDxfId="56"/>
    <tableColumn id="3" name="AHP" dataDxfId="55"/>
    <tableColumn id="4" name="ELECTRE" dataDxfId="54"/>
    <tableColumn id="5" name="PROMETHEE" dataDxfId="53"/>
    <tableColumn id="6" name="TOPSIS" dataDxfId="52"/>
    <tableColumn id="7" name="ANP" dataDxfId="51"/>
    <tableColumn id="8" name="VIKOR" dataDxfId="50"/>
    <tableColumn id="9" name="DEMATEL" dataDxfId="49"/>
    <tableColumn id="10" name="MULTIMOORA" dataDxfId="48"/>
    <tableColumn id="11" name="MOORA" dataDxfId="47"/>
    <tableColumn id="12" name="WASPAS" dataDxfId="46"/>
    <tableColumn id="13" name="COPRA" dataDxfId="45"/>
    <tableColumn id="14" name="DEA" dataDxfId="44"/>
    <tableColumn id="15" name="MAUT" dataDxfId="43"/>
    <tableColumn id="16" name="MAVT" dataDxfId="42"/>
    <tableColumn id="17" name="ASPID" dataDxfId="41"/>
    <tableColumn id="18" name="BWM" dataDxfId="40"/>
    <tableColumn id="19" name="EDAS" dataDxfId="39"/>
    <tableColumn id="20" name="ERA" dataDxfId="38"/>
    <tableColumn id="21" name="SMART" dataDxfId="37"/>
    <tableColumn id="22" name="WSM" dataDxfId="36"/>
  </tableColumns>
  <tableStyleInfo name="TableStyleMedium6" showFirstColumn="0" showLastColumn="0" showRowStripes="1" showColumnStripes="0"/>
</table>
</file>

<file path=xl/tables/table11.xml><?xml version="1.0" encoding="utf-8"?>
<table xmlns="http://schemas.openxmlformats.org/spreadsheetml/2006/main" id="12" name="Table12" displayName="Table12" ref="A2:V5" totalsRowShown="0" headerRowDxfId="35">
  <autoFilter ref="A2:V5"/>
  <tableColumns count="22">
    <tableColumn id="1" name="ID" dataDxfId="34"/>
    <tableColumn id="2" name="Decision Problem Solution" dataDxfId="33"/>
    <tableColumn id="3" name="AHP"/>
    <tableColumn id="4" name="ELECTRE"/>
    <tableColumn id="5" name="PROMETHEE"/>
    <tableColumn id="6" name="TOPSIS"/>
    <tableColumn id="7" name="ANP"/>
    <tableColumn id="8" name="VIKOR"/>
    <tableColumn id="9" name="DEMATEL"/>
    <tableColumn id="10" name="MULTIMOORA"/>
    <tableColumn id="11" name="MOORA"/>
    <tableColumn id="12" name="WASPAS"/>
    <tableColumn id="13" name="COPRA"/>
    <tableColumn id="14" name="DEA"/>
    <tableColumn id="15" name="MAUT"/>
    <tableColumn id="16" name="MAVT"/>
    <tableColumn id="17" name="ASPID"/>
    <tableColumn id="18" name="BWM"/>
    <tableColumn id="19" name="EDAS"/>
    <tableColumn id="20" name="ERA" dataDxfId="32"/>
    <tableColumn id="21" name="SMART" dataDxfId="31"/>
    <tableColumn id="22" name="WSM"/>
  </tableColumns>
  <tableStyleInfo name="TableStyleMedium6" showFirstColumn="0" showLastColumn="0" showRowStripes="1" showColumnStripes="0"/>
</table>
</file>

<file path=xl/tables/table12.xml><?xml version="1.0" encoding="utf-8"?>
<table xmlns="http://schemas.openxmlformats.org/spreadsheetml/2006/main" id="11" name="Table11" displayName="Table11" ref="A2:V5" totalsRowShown="0" headerRowDxfId="30" dataDxfId="29">
  <autoFilter ref="A2:V5"/>
  <tableColumns count="22">
    <tableColumn id="1" name="ID" dataDxfId="28"/>
    <tableColumn id="2" name="Structure of criteria" dataDxfId="27"/>
    <tableColumn id="3" name="AHP" dataDxfId="26"/>
    <tableColumn id="4" name="ELECTRE" dataDxfId="25"/>
    <tableColumn id="5" name="PROMETHEE" dataDxfId="24"/>
    <tableColumn id="6" name="TOPSIS" dataDxfId="23"/>
    <tableColumn id="7" name="ANP" dataDxfId="22"/>
    <tableColumn id="8" name="VIKOR" dataDxfId="21"/>
    <tableColumn id="9" name="DEMATEL" dataDxfId="20"/>
    <tableColumn id="10" name="MULTIMOORA" dataDxfId="19"/>
    <tableColumn id="11" name="MOORA" dataDxfId="18"/>
    <tableColumn id="12" name="WASPAS" dataDxfId="17"/>
    <tableColumn id="13" name="COPRA" dataDxfId="16"/>
    <tableColumn id="14" name="DEA" dataDxfId="15"/>
    <tableColumn id="15" name="MAUT" dataDxfId="14"/>
    <tableColumn id="16" name="MAVT" dataDxfId="13"/>
    <tableColumn id="17" name="ASPID" dataDxfId="12"/>
    <tableColumn id="18" name="BWM" dataDxfId="11"/>
    <tableColumn id="19" name="EDAS" dataDxfId="10"/>
    <tableColumn id="20" name="ERA" dataDxfId="9"/>
    <tableColumn id="21" name="SMART" dataDxfId="8"/>
    <tableColumn id="22" name="WSM" dataDxfId="7"/>
  </tableColumns>
  <tableStyleInfo name="TableStyleMedium2" showFirstColumn="0" showLastColumn="0" showRowStripes="1" showColumnStripes="0"/>
</table>
</file>

<file path=xl/tables/table13.xml><?xml version="1.0" encoding="utf-8"?>
<table xmlns="http://schemas.openxmlformats.org/spreadsheetml/2006/main" id="10" name="Table10" displayName="Table10" ref="A2:V4" totalsRowShown="0" headerRowDxfId="6">
  <autoFilter ref="A2:V4"/>
  <tableColumns count="22">
    <tableColumn id="1" name="ID" dataDxfId="5"/>
    <tableColumn id="2" name="Software support" dataDxfId="4"/>
    <tableColumn id="3" name="AHP"/>
    <tableColumn id="4" name="ELECTRE"/>
    <tableColumn id="5" name="PROMETHEE"/>
    <tableColumn id="6" name="TOPSIS"/>
    <tableColumn id="7" name="ANP"/>
    <tableColumn id="8" name="VIKOR"/>
    <tableColumn id="9" name="DEMATEL"/>
    <tableColumn id="10" name="MULTIMOORA"/>
    <tableColumn id="11" name="MOORA"/>
    <tableColumn id="12" name="WASPAS"/>
    <tableColumn id="13" name="COPRA"/>
    <tableColumn id="14" name="DEA"/>
    <tableColumn id="15" name="MAUT"/>
    <tableColumn id="16" name="MAVT"/>
    <tableColumn id="17" name="ASPID"/>
    <tableColumn id="18" name="BWM"/>
    <tableColumn id="19" name="EDAS"/>
    <tableColumn id="20" name="ERA" dataDxfId="3"/>
    <tableColumn id="21" name="SMART"/>
    <tableColumn id="22" name="WSM"/>
  </tableColumns>
  <tableStyleInfo name="TableStyleMedium2" showFirstColumn="0" showLastColumn="0" showRowStripes="1" showColumnStripes="0"/>
</table>
</file>

<file path=xl/tables/table14.xml><?xml version="1.0" encoding="utf-8"?>
<table xmlns="http://schemas.openxmlformats.org/spreadsheetml/2006/main" id="9" name="Table9" displayName="Table9" ref="A2:V5" totalsRowShown="0" headerRowDxfId="2">
  <autoFilter ref="A2:V5"/>
  <tableColumns count="22">
    <tableColumn id="1" name="ID" dataDxfId="1"/>
    <tableColumn id="2" name="Degree of using the method in area" dataDxfId="0"/>
    <tableColumn id="3" name="AHP"/>
    <tableColumn id="4" name="ELECTRE"/>
    <tableColumn id="5" name="PROMETHEE"/>
    <tableColumn id="6" name="TOPSIS"/>
    <tableColumn id="7" name="ANP"/>
    <tableColumn id="8" name="VIKOR"/>
    <tableColumn id="9" name="DEMATEL"/>
    <tableColumn id="10" name="MULTIMOORA"/>
    <tableColumn id="11" name="MOORA"/>
    <tableColumn id="12" name="WASPAS"/>
    <tableColumn id="13" name="COPRA"/>
    <tableColumn id="14" name="DEA"/>
    <tableColumn id="15" name="MAUT"/>
    <tableColumn id="16" name="MAVT"/>
    <tableColumn id="17" name="ASPID"/>
    <tableColumn id="18" name="BWM"/>
    <tableColumn id="19" name="EDAS"/>
    <tableColumn id="20" name="ERA"/>
    <tableColumn id="21" name="SMART"/>
    <tableColumn id="22" name="WSM"/>
  </tableColumns>
  <tableStyleInfo name="TableStyleMedium2"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sarah.phoya@aru.ac.tz" TargetMode="External"/><Relationship Id="rId2" Type="http://schemas.openxmlformats.org/officeDocument/2006/relationships/hyperlink" Target="https://www.asim.uj.ac.za/" TargetMode="External"/><Relationship Id="rId1" Type="http://schemas.openxmlformats.org/officeDocument/2006/relationships/hyperlink" Target="https://www.aru.ac.tz/" TargetMode="External"/><Relationship Id="rId6" Type="http://schemas.openxmlformats.org/officeDocument/2006/relationships/drawing" Target="../drawings/drawing1.xml"/><Relationship Id="rId5" Type="http://schemas.openxmlformats.org/officeDocument/2006/relationships/hyperlink" Target="mailto:imusonda@uj.ac.za" TargetMode="External"/><Relationship Id="rId4" Type="http://schemas.openxmlformats.org/officeDocument/2006/relationships/hyperlink" Target="mailto:rehema.monko@aru.ac.tz" TargetMode="Externa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table" Target="../tables/table1.xml"/></Relationships>
</file>

<file path=xl/worksheets/_rels/sheet5.xml.rels><?xml version="1.0" encoding="UTF-8" standalone="yes"?>
<Relationships xmlns="http://schemas.openxmlformats.org/package/2006/relationships"><Relationship Id="rId1" Type="http://schemas.openxmlformats.org/officeDocument/2006/relationships/table" Target="../tables/table2.xml"/></Relationships>
</file>

<file path=xl/worksheets/_rels/sheet6.xml.rels><?xml version="1.0" encoding="UTF-8" standalone="yes"?>
<Relationships xmlns="http://schemas.openxmlformats.org/package/2006/relationships"><Relationship Id="rId1" Type="http://schemas.openxmlformats.org/officeDocument/2006/relationships/table" Target="../tables/table3.xml"/></Relationships>
</file>

<file path=xl/worksheets/_rels/sheet7.xml.rels><?xml version="1.0" encoding="UTF-8" standalone="yes"?>
<Relationships xmlns="http://schemas.openxmlformats.org/package/2006/relationships"><Relationship Id="rId1" Type="http://schemas.openxmlformats.org/officeDocument/2006/relationships/table" Target="../tables/table4.xml"/></Relationships>
</file>

<file path=xl/worksheets/_rels/sheet8.xml.rels><?xml version="1.0" encoding="UTF-8" standalone="yes"?>
<Relationships xmlns="http://schemas.openxmlformats.org/package/2006/relationships"><Relationship Id="rId1" Type="http://schemas.openxmlformats.org/officeDocument/2006/relationships/table" Target="../tables/table5.xml"/></Relationships>
</file>

<file path=xl/worksheets/_rels/sheet9.xml.rels><?xml version="1.0" encoding="UTF-8" standalone="yes"?>
<Relationships xmlns="http://schemas.openxmlformats.org/package/2006/relationships"><Relationship Id="rId1" Type="http://schemas.openxmlformats.org/officeDocument/2006/relationships/table" Target="../tables/table6.xml"/></Relationships>
</file>

<file path=xl/worksheets/_rels/sheet10.xml.rels><?xml version="1.0" encoding="UTF-8" standalone="yes"?>
<Relationships xmlns="http://schemas.openxmlformats.org/package/2006/relationships"><Relationship Id="rId1" Type="http://schemas.openxmlformats.org/officeDocument/2006/relationships/table" Target="../tables/table7.xml"/></Relationships>
</file>

<file path=xl/worksheets/_rels/sheet11.xml.rels><?xml version="1.0" encoding="UTF-8" standalone="yes"?>
<Relationships xmlns="http://schemas.openxmlformats.org/package/2006/relationships"><Relationship Id="rId1" Type="http://schemas.openxmlformats.org/officeDocument/2006/relationships/table" Target="../tables/table8.xml"/></Relationships>
</file>

<file path=xl/worksheets/_rels/sheet12.xml.rels><?xml version="1.0" encoding="UTF-8" standalone="yes"?>
<Relationships xmlns="http://schemas.openxmlformats.org/package/2006/relationships"><Relationship Id="rId1" Type="http://schemas.openxmlformats.org/officeDocument/2006/relationships/table" Target="../tables/table9.xml"/></Relationships>
</file>

<file path=xl/worksheets/_rels/sheet13.xml.rels><?xml version="1.0" encoding="UTF-8" standalone="yes"?>
<Relationships xmlns="http://schemas.openxmlformats.org/package/2006/relationships"><Relationship Id="rId1" Type="http://schemas.openxmlformats.org/officeDocument/2006/relationships/table" Target="../tables/table10.xml"/></Relationships>
</file>

<file path=xl/worksheets/_rels/sheet14.xml.rels><?xml version="1.0" encoding="UTF-8" standalone="yes"?>
<Relationships xmlns="http://schemas.openxmlformats.org/package/2006/relationships"><Relationship Id="rId1" Type="http://schemas.openxmlformats.org/officeDocument/2006/relationships/table" Target="../tables/table11.xml"/></Relationships>
</file>

<file path=xl/worksheets/_rels/sheet15.xml.rels><?xml version="1.0" encoding="UTF-8" standalone="yes"?>
<Relationships xmlns="http://schemas.openxmlformats.org/package/2006/relationships"><Relationship Id="rId1" Type="http://schemas.openxmlformats.org/officeDocument/2006/relationships/table" Target="../tables/table12.xml"/></Relationships>
</file>

<file path=xl/worksheets/_rels/sheet16.xml.rels><?xml version="1.0" encoding="UTF-8" standalone="yes"?>
<Relationships xmlns="http://schemas.openxmlformats.org/package/2006/relationships"><Relationship Id="rId1" Type="http://schemas.openxmlformats.org/officeDocument/2006/relationships/table" Target="../tables/table13.xml"/></Relationships>
</file>

<file path=xl/worksheets/_rels/sheet17.xml.rels><?xml version="1.0" encoding="UTF-8" standalone="yes"?>
<Relationships xmlns="http://schemas.openxmlformats.org/package/2006/relationships"><Relationship Id="rId1" Type="http://schemas.openxmlformats.org/officeDocument/2006/relationships/table" Target="../tables/table14.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B1:F57"/>
  <sheetViews>
    <sheetView showGridLines="0" tabSelected="1" zoomScale="60" zoomScaleNormal="60" workbookViewId="0">
      <selection activeCell="E13" sqref="E13"/>
    </sheetView>
  </sheetViews>
  <sheetFormatPr defaultRowHeight="14.5" x14ac:dyDescent="0.35"/>
  <cols>
    <col min="2" max="2" width="5.7265625" customWidth="1"/>
    <col min="3" max="3" width="57.36328125" customWidth="1"/>
    <col min="4" max="4" width="62.90625" customWidth="1"/>
    <col min="5" max="5" width="45.1796875" customWidth="1"/>
  </cols>
  <sheetData>
    <row r="1" spans="2:6" ht="15" thickBot="1" x14ac:dyDescent="0.4"/>
    <row r="2" spans="2:6" ht="15" thickBot="1" x14ac:dyDescent="0.4">
      <c r="B2" s="72"/>
      <c r="C2" s="73"/>
      <c r="D2" s="73"/>
      <c r="E2" s="73"/>
      <c r="F2" s="74"/>
    </row>
    <row r="3" spans="2:6" ht="25" thickBot="1" x14ac:dyDescent="0.75">
      <c r="B3" s="75"/>
      <c r="C3" s="2"/>
      <c r="D3" s="67" t="s">
        <v>217</v>
      </c>
      <c r="E3" s="76"/>
      <c r="F3" s="30"/>
    </row>
    <row r="4" spans="2:6" x14ac:dyDescent="0.35">
      <c r="B4" s="75"/>
      <c r="C4" s="2"/>
      <c r="D4" s="2"/>
      <c r="E4" s="77" t="s">
        <v>352</v>
      </c>
      <c r="F4" s="30"/>
    </row>
    <row r="5" spans="2:6" x14ac:dyDescent="0.35">
      <c r="B5" s="75"/>
      <c r="C5" s="2"/>
      <c r="D5" s="2"/>
      <c r="E5" s="78" t="s">
        <v>165</v>
      </c>
      <c r="F5" s="30"/>
    </row>
    <row r="6" spans="2:6" x14ac:dyDescent="0.35">
      <c r="B6" s="75"/>
      <c r="C6" s="79" t="s">
        <v>166</v>
      </c>
      <c r="D6" s="2"/>
      <c r="E6" s="80">
        <v>45880</v>
      </c>
      <c r="F6" s="30"/>
    </row>
    <row r="7" spans="2:6" x14ac:dyDescent="0.35">
      <c r="B7" s="75"/>
      <c r="C7" s="65" t="s">
        <v>185</v>
      </c>
      <c r="D7" s="2" t="s">
        <v>186</v>
      </c>
      <c r="E7" s="2"/>
      <c r="F7" s="30"/>
    </row>
    <row r="8" spans="2:6" x14ac:dyDescent="0.35">
      <c r="B8" s="75"/>
      <c r="C8" s="65" t="s">
        <v>167</v>
      </c>
      <c r="D8" s="2" t="s">
        <v>187</v>
      </c>
      <c r="E8" s="2"/>
      <c r="F8" s="30"/>
    </row>
    <row r="9" spans="2:6" x14ac:dyDescent="0.35">
      <c r="B9" s="75"/>
      <c r="C9" s="2" t="s">
        <v>169</v>
      </c>
      <c r="D9" s="2"/>
      <c r="E9" s="2"/>
      <c r="F9" s="30"/>
    </row>
    <row r="10" spans="2:6" x14ac:dyDescent="0.35">
      <c r="B10" s="75"/>
      <c r="C10" s="2" t="s">
        <v>170</v>
      </c>
      <c r="D10" s="81" t="s">
        <v>188</v>
      </c>
      <c r="E10" s="2"/>
      <c r="F10" s="30"/>
    </row>
    <row r="11" spans="2:6" x14ac:dyDescent="0.35">
      <c r="B11" s="75"/>
      <c r="C11" s="2" t="s">
        <v>171</v>
      </c>
      <c r="D11" s="2"/>
      <c r="E11" s="2"/>
      <c r="F11" s="30"/>
    </row>
    <row r="12" spans="2:6" x14ac:dyDescent="0.35">
      <c r="B12" s="75"/>
      <c r="C12" s="2" t="s">
        <v>172</v>
      </c>
      <c r="D12" s="2"/>
      <c r="E12" s="2"/>
      <c r="F12" s="30"/>
    </row>
    <row r="13" spans="2:6" x14ac:dyDescent="0.35">
      <c r="B13" s="75"/>
      <c r="C13" s="81" t="s">
        <v>173</v>
      </c>
      <c r="D13" s="2"/>
      <c r="E13" s="2"/>
      <c r="F13" s="30"/>
    </row>
    <row r="14" spans="2:6" x14ac:dyDescent="0.35">
      <c r="B14" s="75"/>
      <c r="C14" s="2"/>
      <c r="D14" s="2"/>
      <c r="E14" s="2"/>
      <c r="F14" s="30"/>
    </row>
    <row r="15" spans="2:6" x14ac:dyDescent="0.35">
      <c r="B15" s="75"/>
      <c r="C15" s="69"/>
      <c r="D15" s="2"/>
      <c r="E15" s="2"/>
      <c r="F15" s="30"/>
    </row>
    <row r="16" spans="2:6" x14ac:dyDescent="0.35">
      <c r="B16" s="75"/>
      <c r="C16" s="88" t="s">
        <v>353</v>
      </c>
      <c r="D16" s="2"/>
      <c r="E16" s="2"/>
      <c r="F16" s="30"/>
    </row>
    <row r="17" spans="2:6" x14ac:dyDescent="0.35">
      <c r="B17" s="75"/>
      <c r="C17" s="88"/>
      <c r="D17" s="2"/>
      <c r="E17" s="2"/>
      <c r="F17" s="30"/>
    </row>
    <row r="18" spans="2:6" ht="61" customHeight="1" x14ac:dyDescent="0.35">
      <c r="B18" s="75"/>
      <c r="C18" s="195" t="s">
        <v>355</v>
      </c>
      <c r="D18" s="195"/>
      <c r="E18" s="195"/>
      <c r="F18" s="90"/>
    </row>
    <row r="19" spans="2:6" ht="13" customHeight="1" x14ac:dyDescent="0.35">
      <c r="B19" s="75"/>
      <c r="C19" s="89"/>
      <c r="D19" s="89"/>
      <c r="E19" s="89"/>
      <c r="F19" s="90"/>
    </row>
    <row r="20" spans="2:6" x14ac:dyDescent="0.35">
      <c r="B20" s="75"/>
      <c r="C20" s="2"/>
      <c r="D20" s="2"/>
      <c r="E20" s="2"/>
      <c r="F20" s="30"/>
    </row>
    <row r="21" spans="2:6" x14ac:dyDescent="0.35">
      <c r="B21" s="75"/>
      <c r="C21" s="83" t="s">
        <v>174</v>
      </c>
      <c r="D21" s="83" t="s">
        <v>175</v>
      </c>
      <c r="E21" s="83" t="s">
        <v>176</v>
      </c>
      <c r="F21" s="30"/>
    </row>
    <row r="22" spans="2:6" x14ac:dyDescent="0.35">
      <c r="B22" s="75"/>
      <c r="C22" s="84" t="s">
        <v>177</v>
      </c>
      <c r="D22" s="63" t="s">
        <v>178</v>
      </c>
      <c r="E22" s="39" t="s">
        <v>184</v>
      </c>
      <c r="F22" s="30"/>
    </row>
    <row r="23" spans="2:6" x14ac:dyDescent="0.35">
      <c r="B23" s="75"/>
      <c r="C23" s="64"/>
      <c r="D23" s="64" t="s">
        <v>168</v>
      </c>
      <c r="E23" s="41"/>
      <c r="F23" s="30"/>
    </row>
    <row r="24" spans="2:6" x14ac:dyDescent="0.35">
      <c r="B24" s="75"/>
      <c r="C24" s="84" t="s">
        <v>179</v>
      </c>
      <c r="D24" s="63" t="s">
        <v>180</v>
      </c>
      <c r="E24" s="68" t="s">
        <v>189</v>
      </c>
      <c r="F24" s="30"/>
    </row>
    <row r="25" spans="2:6" x14ac:dyDescent="0.35">
      <c r="B25" s="75"/>
      <c r="C25" s="64"/>
      <c r="D25" s="64" t="s">
        <v>168</v>
      </c>
      <c r="E25" s="41"/>
      <c r="F25" s="30"/>
    </row>
    <row r="26" spans="2:6" x14ac:dyDescent="0.35">
      <c r="B26" s="75"/>
      <c r="C26" s="85" t="s">
        <v>181</v>
      </c>
      <c r="D26" s="65" t="s">
        <v>180</v>
      </c>
      <c r="E26" s="70" t="s">
        <v>190</v>
      </c>
      <c r="F26" s="30"/>
    </row>
    <row r="27" spans="2:6" x14ac:dyDescent="0.35">
      <c r="B27" s="75"/>
      <c r="C27" s="65"/>
      <c r="D27" s="65" t="s">
        <v>168</v>
      </c>
      <c r="E27" s="2"/>
      <c r="F27" s="30"/>
    </row>
    <row r="28" spans="2:6" ht="29" customHeight="1" x14ac:dyDescent="0.35">
      <c r="B28" s="75"/>
      <c r="C28" s="86" t="s">
        <v>182</v>
      </c>
      <c r="D28" s="66" t="s">
        <v>183</v>
      </c>
      <c r="E28" s="71" t="s">
        <v>191</v>
      </c>
      <c r="F28" s="30"/>
    </row>
    <row r="29" spans="2:6" x14ac:dyDescent="0.35">
      <c r="B29" s="75"/>
      <c r="C29" s="41"/>
      <c r="D29" s="64" t="s">
        <v>187</v>
      </c>
      <c r="E29" s="41"/>
      <c r="F29" s="30"/>
    </row>
    <row r="30" spans="2:6" x14ac:dyDescent="0.35">
      <c r="B30" s="75"/>
      <c r="C30" s="2"/>
      <c r="D30" s="2"/>
      <c r="E30" s="2"/>
      <c r="F30" s="30"/>
    </row>
    <row r="31" spans="2:6" x14ac:dyDescent="0.35">
      <c r="B31" s="75"/>
      <c r="C31" s="2"/>
      <c r="D31" s="2"/>
      <c r="E31" s="2"/>
      <c r="F31" s="30"/>
    </row>
    <row r="32" spans="2:6" x14ac:dyDescent="0.35">
      <c r="B32" s="75"/>
      <c r="C32" s="2"/>
      <c r="D32" s="2"/>
      <c r="E32" s="2"/>
      <c r="F32" s="30"/>
    </row>
    <row r="33" spans="2:6" x14ac:dyDescent="0.35">
      <c r="B33" s="75"/>
      <c r="C33" s="2"/>
      <c r="D33" s="2"/>
      <c r="E33" s="2"/>
      <c r="F33" s="30"/>
    </row>
    <row r="34" spans="2:6" x14ac:dyDescent="0.35">
      <c r="B34" s="75"/>
      <c r="C34" s="2"/>
      <c r="D34" s="2"/>
      <c r="E34" s="2"/>
      <c r="F34" s="30"/>
    </row>
    <row r="35" spans="2:6" x14ac:dyDescent="0.35">
      <c r="B35" s="75"/>
      <c r="C35" s="2"/>
      <c r="D35" s="2"/>
      <c r="E35" s="2"/>
      <c r="F35" s="30"/>
    </row>
    <row r="36" spans="2:6" x14ac:dyDescent="0.35">
      <c r="B36" s="75"/>
      <c r="C36" s="81" t="s">
        <v>218</v>
      </c>
      <c r="D36" s="2"/>
      <c r="E36" s="2"/>
      <c r="F36" s="30"/>
    </row>
    <row r="37" spans="2:6" ht="110.5" customHeight="1" x14ac:dyDescent="0.35">
      <c r="B37" s="75"/>
      <c r="C37" s="192" t="s">
        <v>354</v>
      </c>
      <c r="D37" s="193"/>
      <c r="E37" s="194"/>
      <c r="F37" s="30"/>
    </row>
    <row r="38" spans="2:6" x14ac:dyDescent="0.35">
      <c r="B38" s="75"/>
      <c r="C38" s="2"/>
      <c r="D38" s="87"/>
      <c r="E38" s="2"/>
      <c r="F38" s="30"/>
    </row>
    <row r="39" spans="2:6" x14ac:dyDescent="0.35">
      <c r="B39" s="75"/>
      <c r="C39" s="2"/>
      <c r="D39" s="2"/>
      <c r="E39" s="2"/>
      <c r="F39" s="30"/>
    </row>
    <row r="40" spans="2:6" x14ac:dyDescent="0.35">
      <c r="B40" s="75"/>
      <c r="C40" s="2"/>
      <c r="D40" s="2"/>
      <c r="E40" s="2"/>
      <c r="F40" s="30"/>
    </row>
    <row r="41" spans="2:6" x14ac:dyDescent="0.35">
      <c r="B41" s="75"/>
      <c r="C41" s="2"/>
      <c r="D41" s="2"/>
      <c r="E41" s="2"/>
      <c r="F41" s="30"/>
    </row>
    <row r="42" spans="2:6" x14ac:dyDescent="0.35">
      <c r="B42" s="75"/>
      <c r="C42" s="2"/>
      <c r="D42" s="2"/>
      <c r="E42" s="2"/>
      <c r="F42" s="30"/>
    </row>
    <row r="43" spans="2:6" ht="21" x14ac:dyDescent="0.5">
      <c r="B43" s="75"/>
      <c r="C43" s="91" t="s">
        <v>219</v>
      </c>
      <c r="D43" s="2"/>
      <c r="E43" s="2"/>
      <c r="F43" s="30"/>
    </row>
    <row r="44" spans="2:6" x14ac:dyDescent="0.35">
      <c r="B44" s="75"/>
      <c r="C44" s="2" t="s">
        <v>212</v>
      </c>
      <c r="D44" s="2"/>
      <c r="E44" s="2"/>
      <c r="F44" s="30"/>
    </row>
    <row r="45" spans="2:6" x14ac:dyDescent="0.35">
      <c r="B45" s="75"/>
      <c r="C45" s="2" t="s">
        <v>213</v>
      </c>
      <c r="D45" s="2"/>
      <c r="E45" s="2"/>
      <c r="F45" s="30"/>
    </row>
    <row r="46" spans="2:6" x14ac:dyDescent="0.35">
      <c r="B46" s="75"/>
      <c r="C46" s="2" t="s">
        <v>214</v>
      </c>
      <c r="D46" s="2"/>
      <c r="E46" s="2"/>
      <c r="F46" s="30"/>
    </row>
    <row r="47" spans="2:6" x14ac:dyDescent="0.35">
      <c r="B47" s="75"/>
      <c r="C47" s="2"/>
      <c r="D47" s="2"/>
      <c r="E47" s="2"/>
      <c r="F47" s="30"/>
    </row>
    <row r="48" spans="2:6" x14ac:dyDescent="0.35">
      <c r="B48" s="75"/>
      <c r="C48" s="2"/>
      <c r="D48" s="2"/>
      <c r="E48" s="2"/>
      <c r="F48" s="30"/>
    </row>
    <row r="49" spans="2:6" x14ac:dyDescent="0.35">
      <c r="B49" s="75"/>
      <c r="C49" s="2"/>
      <c r="D49" s="2"/>
      <c r="E49" s="2"/>
      <c r="F49" s="30"/>
    </row>
    <row r="50" spans="2:6" x14ac:dyDescent="0.35">
      <c r="B50" s="75"/>
      <c r="C50" s="2"/>
      <c r="D50" s="2"/>
      <c r="E50" s="2"/>
      <c r="F50" s="30"/>
    </row>
    <row r="51" spans="2:6" x14ac:dyDescent="0.35">
      <c r="B51" s="75"/>
      <c r="C51" s="2"/>
      <c r="D51" s="2"/>
      <c r="E51" s="2"/>
      <c r="F51" s="30"/>
    </row>
    <row r="52" spans="2:6" x14ac:dyDescent="0.35">
      <c r="B52" s="75"/>
      <c r="C52" s="2"/>
      <c r="D52" s="2"/>
      <c r="E52" s="2"/>
      <c r="F52" s="30"/>
    </row>
    <row r="53" spans="2:6" ht="28.5" x14ac:dyDescent="0.65">
      <c r="B53" s="75"/>
      <c r="C53" s="2"/>
      <c r="D53" s="156" t="s">
        <v>215</v>
      </c>
      <c r="E53" s="2"/>
      <c r="F53" s="30"/>
    </row>
    <row r="54" spans="2:6" x14ac:dyDescent="0.35">
      <c r="B54" s="75"/>
      <c r="C54" s="2"/>
      <c r="D54" s="2"/>
      <c r="E54" s="2"/>
      <c r="F54" s="30"/>
    </row>
    <row r="55" spans="2:6" x14ac:dyDescent="0.35">
      <c r="B55" s="75"/>
      <c r="C55" s="2"/>
      <c r="D55" s="2"/>
      <c r="E55" s="2"/>
      <c r="F55" s="30"/>
    </row>
    <row r="56" spans="2:6" x14ac:dyDescent="0.35">
      <c r="B56" s="75"/>
      <c r="C56" s="2"/>
      <c r="D56" s="2"/>
      <c r="E56" s="2"/>
      <c r="F56" s="30"/>
    </row>
    <row r="57" spans="2:6" ht="15" thickBot="1" x14ac:dyDescent="0.4">
      <c r="B57" s="82"/>
      <c r="C57" s="29"/>
      <c r="D57" s="29"/>
      <c r="E57" s="29"/>
      <c r="F57" s="8"/>
    </row>
  </sheetData>
  <mergeCells count="2">
    <mergeCell ref="C37:E37"/>
    <mergeCell ref="C18:E18"/>
  </mergeCells>
  <hyperlinks>
    <hyperlink ref="C13" r:id="rId1"/>
    <hyperlink ref="D10" r:id="rId2"/>
    <hyperlink ref="E24" r:id="rId3"/>
    <hyperlink ref="E26" r:id="rId4"/>
    <hyperlink ref="E28" r:id="rId5"/>
    <hyperlink ref="C36" location="'Title Page'!C37" display="What is MIST ?"/>
    <hyperlink ref="D53" location="'Expected Properties'!A1" tooltip="Continue to generating expected properties" display="Continue ----&gt;"/>
  </hyperlinks>
  <pageMargins left="0.7" right="0.7" top="0.75" bottom="0.75" header="0.3" footer="0.3"/>
  <drawing r:id="rId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C3:I64"/>
  <sheetViews>
    <sheetView topLeftCell="A55" workbookViewId="0">
      <selection activeCell="D64" sqref="D64"/>
    </sheetView>
  </sheetViews>
  <sheetFormatPr defaultRowHeight="14.5" x14ac:dyDescent="0.35"/>
  <cols>
    <col min="1" max="5" width="8.7265625" style="133"/>
    <col min="6" max="6" width="8.7265625" style="134"/>
    <col min="7" max="7" width="33.54296875" style="133" customWidth="1"/>
    <col min="8" max="8" width="16" style="134" customWidth="1"/>
    <col min="9" max="9" width="57.1796875" style="135" customWidth="1"/>
    <col min="10" max="16384" width="8.7265625" style="133"/>
  </cols>
  <sheetData>
    <row r="3" spans="4:9" x14ac:dyDescent="0.35">
      <c r="D3" s="136" t="s">
        <v>309</v>
      </c>
    </row>
    <row r="4" spans="4:9" ht="23" x14ac:dyDescent="0.35">
      <c r="D4" s="144" t="s">
        <v>223</v>
      </c>
      <c r="E4" s="145" t="s">
        <v>225</v>
      </c>
      <c r="F4" s="144" t="s">
        <v>226</v>
      </c>
      <c r="G4" s="146" t="s">
        <v>227</v>
      </c>
      <c r="H4" s="145" t="s">
        <v>228</v>
      </c>
      <c r="I4" s="147" t="s">
        <v>315</v>
      </c>
    </row>
    <row r="5" spans="4:9" ht="30" customHeight="1" x14ac:dyDescent="0.35">
      <c r="D5" s="148" t="s">
        <v>154</v>
      </c>
      <c r="E5" s="149">
        <v>1</v>
      </c>
      <c r="F5" s="148" t="s">
        <v>229</v>
      </c>
      <c r="G5" s="150" t="s">
        <v>34</v>
      </c>
      <c r="H5" s="148">
        <v>0</v>
      </c>
      <c r="I5" s="151"/>
    </row>
    <row r="6" spans="4:9" ht="24" customHeight="1" x14ac:dyDescent="0.35">
      <c r="D6" s="152"/>
      <c r="E6" s="149"/>
      <c r="F6" s="148" t="s">
        <v>230</v>
      </c>
      <c r="G6" s="150" t="s">
        <v>35</v>
      </c>
      <c r="H6" s="148">
        <v>0</v>
      </c>
      <c r="I6" s="151"/>
    </row>
    <row r="7" spans="4:9" ht="21" customHeight="1" x14ac:dyDescent="0.35">
      <c r="D7" s="152"/>
      <c r="E7" s="149"/>
      <c r="F7" s="148" t="s">
        <v>231</v>
      </c>
      <c r="G7" s="150" t="s">
        <v>36</v>
      </c>
      <c r="H7" s="148">
        <v>0</v>
      </c>
      <c r="I7" s="151"/>
    </row>
    <row r="8" spans="4:9" ht="21" customHeight="1" x14ac:dyDescent="0.35">
      <c r="D8" s="152"/>
      <c r="E8" s="149"/>
      <c r="F8" s="148" t="s">
        <v>232</v>
      </c>
      <c r="G8" s="150" t="s">
        <v>37</v>
      </c>
      <c r="H8" s="148">
        <v>1</v>
      </c>
      <c r="I8" s="151" t="s">
        <v>233</v>
      </c>
    </row>
    <row r="9" spans="4:9" x14ac:dyDescent="0.35">
      <c r="D9" s="148" t="s">
        <v>155</v>
      </c>
      <c r="E9" s="149">
        <v>1</v>
      </c>
      <c r="F9" s="148" t="s">
        <v>234</v>
      </c>
      <c r="G9" s="150" t="s">
        <v>38</v>
      </c>
      <c r="H9" s="148">
        <v>1</v>
      </c>
      <c r="I9" s="151" t="s">
        <v>235</v>
      </c>
    </row>
    <row r="10" spans="4:9" x14ac:dyDescent="0.35">
      <c r="D10" s="152"/>
      <c r="E10" s="149"/>
      <c r="F10" s="148" t="s">
        <v>236</v>
      </c>
      <c r="G10" s="150" t="s">
        <v>39</v>
      </c>
      <c r="H10" s="148">
        <v>0</v>
      </c>
      <c r="I10" s="151"/>
    </row>
    <row r="11" spans="4:9" x14ac:dyDescent="0.35">
      <c r="D11" s="152"/>
      <c r="E11" s="149"/>
      <c r="F11" s="148" t="s">
        <v>237</v>
      </c>
      <c r="G11" s="150" t="s">
        <v>40</v>
      </c>
      <c r="H11" s="148">
        <v>0</v>
      </c>
      <c r="I11" s="151"/>
    </row>
    <row r="12" spans="4:9" ht="16" customHeight="1" x14ac:dyDescent="0.35">
      <c r="D12" s="148" t="s">
        <v>156</v>
      </c>
      <c r="E12" s="149">
        <v>1</v>
      </c>
      <c r="F12" s="148" t="s">
        <v>238</v>
      </c>
      <c r="G12" s="150" t="s">
        <v>41</v>
      </c>
      <c r="H12" s="148">
        <v>0</v>
      </c>
      <c r="I12" s="151"/>
    </row>
    <row r="13" spans="4:9" ht="14.5" customHeight="1" x14ac:dyDescent="0.35">
      <c r="D13" s="152"/>
      <c r="E13" s="149"/>
      <c r="F13" s="148" t="s">
        <v>239</v>
      </c>
      <c r="G13" s="150" t="s">
        <v>42</v>
      </c>
      <c r="H13" s="148">
        <v>1</v>
      </c>
      <c r="I13" s="151" t="s">
        <v>240</v>
      </c>
    </row>
    <row r="14" spans="4:9" ht="22.5" customHeight="1" x14ac:dyDescent="0.35">
      <c r="D14" s="152"/>
      <c r="E14" s="149"/>
      <c r="F14" s="144" t="s">
        <v>241</v>
      </c>
      <c r="G14" s="150" t="s">
        <v>43</v>
      </c>
      <c r="H14" s="148">
        <v>0</v>
      </c>
      <c r="I14" s="151"/>
    </row>
    <row r="15" spans="4:9" ht="19.5" customHeight="1" x14ac:dyDescent="0.35">
      <c r="D15" s="148" t="s">
        <v>157</v>
      </c>
      <c r="E15" s="149">
        <v>1</v>
      </c>
      <c r="F15" s="148" t="s">
        <v>242</v>
      </c>
      <c r="G15" s="150" t="s">
        <v>45</v>
      </c>
      <c r="H15" s="148">
        <v>0</v>
      </c>
      <c r="I15" s="151"/>
    </row>
    <row r="16" spans="4:9" ht="21.5" customHeight="1" x14ac:dyDescent="0.35">
      <c r="D16" s="152"/>
      <c r="E16" s="149"/>
      <c r="F16" s="148" t="s">
        <v>243</v>
      </c>
      <c r="G16" s="150" t="s">
        <v>46</v>
      </c>
      <c r="H16" s="148">
        <v>0</v>
      </c>
      <c r="I16" s="151"/>
    </row>
    <row r="17" spans="4:9" ht="25.5" customHeight="1" x14ac:dyDescent="0.35">
      <c r="D17" s="152"/>
      <c r="E17" s="149"/>
      <c r="F17" s="148" t="s">
        <v>244</v>
      </c>
      <c r="G17" s="150" t="s">
        <v>47</v>
      </c>
      <c r="H17" s="148">
        <v>1</v>
      </c>
      <c r="I17" s="151" t="s">
        <v>245</v>
      </c>
    </row>
    <row r="18" spans="4:9" ht="15" customHeight="1" x14ac:dyDescent="0.35">
      <c r="D18" s="148" t="s">
        <v>158</v>
      </c>
      <c r="E18" s="149">
        <v>1</v>
      </c>
      <c r="F18" s="148" t="s">
        <v>246</v>
      </c>
      <c r="G18" s="150" t="s">
        <v>48</v>
      </c>
      <c r="H18" s="148">
        <v>1</v>
      </c>
      <c r="I18" s="151" t="s">
        <v>247</v>
      </c>
    </row>
    <row r="19" spans="4:9" ht="17" customHeight="1" x14ac:dyDescent="0.35">
      <c r="D19" s="148"/>
      <c r="E19" s="149"/>
      <c r="F19" s="148" t="s">
        <v>248</v>
      </c>
      <c r="G19" s="150" t="s">
        <v>49</v>
      </c>
      <c r="H19" s="148">
        <v>0</v>
      </c>
      <c r="I19" s="151"/>
    </row>
    <row r="20" spans="4:9" ht="14" customHeight="1" x14ac:dyDescent="0.35">
      <c r="D20" s="148" t="s">
        <v>159</v>
      </c>
      <c r="E20" s="149">
        <v>1</v>
      </c>
      <c r="F20" s="148" t="s">
        <v>249</v>
      </c>
      <c r="G20" s="150" t="s">
        <v>50</v>
      </c>
      <c r="H20" s="148">
        <v>1</v>
      </c>
      <c r="I20" s="151" t="s">
        <v>250</v>
      </c>
    </row>
    <row r="21" spans="4:9" x14ac:dyDescent="0.35">
      <c r="D21" s="152"/>
      <c r="E21" s="149"/>
      <c r="F21" s="148" t="s">
        <v>251</v>
      </c>
      <c r="G21" s="150" t="s">
        <v>51</v>
      </c>
      <c r="H21" s="148">
        <v>0</v>
      </c>
      <c r="I21" s="151"/>
    </row>
    <row r="22" spans="4:9" x14ac:dyDescent="0.35">
      <c r="D22" s="152"/>
      <c r="E22" s="153"/>
      <c r="F22" s="148" t="s">
        <v>252</v>
      </c>
      <c r="G22" s="150" t="s">
        <v>52</v>
      </c>
      <c r="H22" s="148">
        <v>1</v>
      </c>
      <c r="I22" s="151" t="s">
        <v>253</v>
      </c>
    </row>
    <row r="23" spans="4:9" x14ac:dyDescent="0.35">
      <c r="D23" s="148"/>
      <c r="E23" s="149"/>
      <c r="F23" s="148" t="s">
        <v>254</v>
      </c>
      <c r="G23" s="150" t="s">
        <v>53</v>
      </c>
      <c r="H23" s="148">
        <v>0</v>
      </c>
      <c r="I23" s="151"/>
    </row>
    <row r="24" spans="4:9" ht="13.5" customHeight="1" x14ac:dyDescent="0.35">
      <c r="D24" s="148" t="s">
        <v>161</v>
      </c>
      <c r="E24" s="149">
        <v>1</v>
      </c>
      <c r="F24" s="148" t="s">
        <v>255</v>
      </c>
      <c r="G24" s="150" t="s">
        <v>54</v>
      </c>
      <c r="H24" s="148">
        <v>0</v>
      </c>
      <c r="I24" s="151"/>
    </row>
    <row r="25" spans="4:9" ht="14" customHeight="1" x14ac:dyDescent="0.35">
      <c r="D25" s="152"/>
      <c r="E25" s="149"/>
      <c r="F25" s="148" t="s">
        <v>256</v>
      </c>
      <c r="G25" s="150" t="s">
        <v>55</v>
      </c>
      <c r="H25" s="148">
        <v>0</v>
      </c>
      <c r="I25" s="151"/>
    </row>
    <row r="26" spans="4:9" ht="15.5" customHeight="1" x14ac:dyDescent="0.35">
      <c r="D26" s="152"/>
      <c r="E26" s="149"/>
      <c r="F26" s="148" t="s">
        <v>257</v>
      </c>
      <c r="G26" s="150" t="s">
        <v>56</v>
      </c>
      <c r="H26" s="148">
        <v>1</v>
      </c>
      <c r="I26" s="151" t="s">
        <v>258</v>
      </c>
    </row>
    <row r="27" spans="4:9" x14ac:dyDescent="0.35">
      <c r="D27" s="152"/>
      <c r="E27" s="149"/>
      <c r="F27" s="148" t="s">
        <v>259</v>
      </c>
      <c r="G27" s="154" t="s">
        <v>260</v>
      </c>
      <c r="H27" s="148">
        <v>0</v>
      </c>
      <c r="I27" s="151"/>
    </row>
    <row r="28" spans="4:9" ht="19.5" customHeight="1" x14ac:dyDescent="0.35">
      <c r="D28" s="148" t="s">
        <v>160</v>
      </c>
      <c r="E28" s="149">
        <v>1</v>
      </c>
      <c r="F28" s="148" t="s">
        <v>261</v>
      </c>
      <c r="G28" s="150" t="s">
        <v>58</v>
      </c>
      <c r="H28" s="148">
        <v>1</v>
      </c>
      <c r="I28" s="151" t="s">
        <v>262</v>
      </c>
    </row>
    <row r="29" spans="4:9" x14ac:dyDescent="0.35">
      <c r="D29" s="152"/>
      <c r="E29" s="149"/>
      <c r="F29" s="148" t="s">
        <v>263</v>
      </c>
      <c r="G29" s="150" t="s">
        <v>59</v>
      </c>
      <c r="H29" s="148">
        <v>0</v>
      </c>
      <c r="I29" s="151"/>
    </row>
    <row r="30" spans="4:9" x14ac:dyDescent="0.35">
      <c r="D30" s="152"/>
      <c r="E30" s="149"/>
      <c r="F30" s="148" t="s">
        <v>264</v>
      </c>
      <c r="G30" s="150" t="s">
        <v>60</v>
      </c>
      <c r="H30" s="148">
        <v>0</v>
      </c>
      <c r="I30" s="151"/>
    </row>
    <row r="31" spans="4:9" ht="17.5" customHeight="1" x14ac:dyDescent="0.35">
      <c r="D31" s="148" t="s">
        <v>61</v>
      </c>
      <c r="E31" s="149">
        <v>1</v>
      </c>
      <c r="F31" s="148" t="s">
        <v>265</v>
      </c>
      <c r="G31" s="150" t="s">
        <v>63</v>
      </c>
      <c r="H31" s="148">
        <v>0</v>
      </c>
      <c r="I31" s="151"/>
    </row>
    <row r="32" spans="4:9" ht="21.5" customHeight="1" x14ac:dyDescent="0.35">
      <c r="D32" s="148"/>
      <c r="E32" s="149"/>
      <c r="F32" s="148" t="s">
        <v>266</v>
      </c>
      <c r="G32" s="150" t="s">
        <v>65</v>
      </c>
      <c r="H32" s="148">
        <v>0</v>
      </c>
      <c r="I32" s="151"/>
    </row>
    <row r="33" spans="4:9" ht="24" customHeight="1" x14ac:dyDescent="0.35">
      <c r="D33" s="152"/>
      <c r="E33" s="149"/>
      <c r="F33" s="148" t="s">
        <v>267</v>
      </c>
      <c r="G33" s="150" t="s">
        <v>67</v>
      </c>
      <c r="H33" s="148">
        <v>0</v>
      </c>
      <c r="I33" s="151"/>
    </row>
    <row r="34" spans="4:9" ht="14" customHeight="1" x14ac:dyDescent="0.35">
      <c r="D34" s="152"/>
      <c r="E34" s="149"/>
      <c r="F34" s="148" t="s">
        <v>268</v>
      </c>
      <c r="G34" s="150" t="s">
        <v>69</v>
      </c>
      <c r="H34" s="148">
        <v>0</v>
      </c>
      <c r="I34" s="151"/>
    </row>
    <row r="35" spans="4:9" ht="15" customHeight="1" x14ac:dyDescent="0.35">
      <c r="D35" s="152"/>
      <c r="E35" s="149"/>
      <c r="F35" s="148" t="s">
        <v>269</v>
      </c>
      <c r="G35" s="150" t="s">
        <v>71</v>
      </c>
      <c r="H35" s="148">
        <v>0</v>
      </c>
      <c r="I35" s="151"/>
    </row>
    <row r="36" spans="4:9" ht="14" customHeight="1" x14ac:dyDescent="0.35">
      <c r="D36" s="152"/>
      <c r="E36" s="149"/>
      <c r="F36" s="148" t="s">
        <v>270</v>
      </c>
      <c r="G36" s="150" t="s">
        <v>73</v>
      </c>
      <c r="H36" s="148">
        <v>1</v>
      </c>
      <c r="I36" s="151" t="s">
        <v>271</v>
      </c>
    </row>
    <row r="37" spans="4:9" ht="13.5" customHeight="1" x14ac:dyDescent="0.35">
      <c r="D37" s="148"/>
      <c r="E37" s="149"/>
      <c r="F37" s="148" t="s">
        <v>272</v>
      </c>
      <c r="G37" s="150" t="s">
        <v>75</v>
      </c>
      <c r="H37" s="148">
        <v>0</v>
      </c>
      <c r="I37" s="151"/>
    </row>
    <row r="38" spans="4:9" ht="15" customHeight="1" x14ac:dyDescent="0.35">
      <c r="D38" s="152"/>
      <c r="E38" s="149"/>
      <c r="F38" s="148" t="s">
        <v>273</v>
      </c>
      <c r="G38" s="150" t="s">
        <v>77</v>
      </c>
      <c r="H38" s="148">
        <v>0</v>
      </c>
      <c r="I38" s="151"/>
    </row>
    <row r="39" spans="4:9" ht="13.5" customHeight="1" x14ac:dyDescent="0.35">
      <c r="D39" s="148"/>
      <c r="E39" s="149"/>
      <c r="F39" s="148" t="s">
        <v>274</v>
      </c>
      <c r="G39" s="150" t="s">
        <v>79</v>
      </c>
      <c r="H39" s="148">
        <v>0</v>
      </c>
      <c r="I39" s="151"/>
    </row>
    <row r="40" spans="4:9" ht="16" customHeight="1" x14ac:dyDescent="0.35">
      <c r="D40" s="148"/>
      <c r="E40" s="149"/>
      <c r="F40" s="148" t="s">
        <v>275</v>
      </c>
      <c r="G40" s="150" t="s">
        <v>81</v>
      </c>
      <c r="H40" s="148">
        <v>0</v>
      </c>
      <c r="I40" s="151"/>
    </row>
    <row r="41" spans="4:9" ht="14" customHeight="1" x14ac:dyDescent="0.35">
      <c r="D41" s="148"/>
      <c r="E41" s="149"/>
      <c r="F41" s="148" t="s">
        <v>276</v>
      </c>
      <c r="G41" s="150" t="s">
        <v>83</v>
      </c>
      <c r="H41" s="148">
        <v>0</v>
      </c>
      <c r="I41" s="151"/>
    </row>
    <row r="42" spans="4:9" ht="19" customHeight="1" x14ac:dyDescent="0.35">
      <c r="D42" s="148"/>
      <c r="E42" s="149"/>
      <c r="F42" s="148" t="s">
        <v>277</v>
      </c>
      <c r="G42" s="150" t="s">
        <v>85</v>
      </c>
      <c r="H42" s="148">
        <v>0</v>
      </c>
      <c r="I42" s="151"/>
    </row>
    <row r="43" spans="4:9" ht="25.5" customHeight="1" x14ac:dyDescent="0.35">
      <c r="D43" s="148"/>
      <c r="E43" s="149"/>
      <c r="F43" s="148" t="s">
        <v>278</v>
      </c>
      <c r="G43" s="150" t="s">
        <v>87</v>
      </c>
      <c r="H43" s="148">
        <v>0</v>
      </c>
      <c r="I43" s="151"/>
    </row>
    <row r="44" spans="4:9" ht="19" customHeight="1" x14ac:dyDescent="0.35">
      <c r="D44" s="148"/>
      <c r="E44" s="149"/>
      <c r="F44" s="148" t="s">
        <v>279</v>
      </c>
      <c r="G44" s="150" t="s">
        <v>89</v>
      </c>
      <c r="H44" s="148">
        <v>0</v>
      </c>
      <c r="I44" s="151"/>
    </row>
    <row r="45" spans="4:9" ht="28" customHeight="1" x14ac:dyDescent="0.35">
      <c r="D45" s="148" t="s">
        <v>90</v>
      </c>
      <c r="E45" s="149">
        <v>1</v>
      </c>
      <c r="F45" s="148" t="s">
        <v>280</v>
      </c>
      <c r="G45" s="150" t="s">
        <v>92</v>
      </c>
      <c r="H45" s="148">
        <v>0</v>
      </c>
      <c r="I45" s="151"/>
    </row>
    <row r="46" spans="4:9" ht="22.5" customHeight="1" x14ac:dyDescent="0.35">
      <c r="D46" s="152"/>
      <c r="E46" s="149"/>
      <c r="F46" s="148" t="s">
        <v>281</v>
      </c>
      <c r="G46" s="150" t="s">
        <v>94</v>
      </c>
      <c r="H46" s="148">
        <v>0</v>
      </c>
      <c r="I46" s="151"/>
    </row>
    <row r="47" spans="4:9" ht="21" customHeight="1" x14ac:dyDescent="0.35">
      <c r="D47" s="152"/>
      <c r="E47" s="149"/>
      <c r="F47" s="148" t="s">
        <v>282</v>
      </c>
      <c r="G47" s="150" t="s">
        <v>96</v>
      </c>
      <c r="H47" s="148">
        <v>0</v>
      </c>
      <c r="I47" s="151"/>
    </row>
    <row r="48" spans="4:9" ht="23" customHeight="1" x14ac:dyDescent="0.35">
      <c r="D48" s="152"/>
      <c r="E48" s="149"/>
      <c r="F48" s="148" t="s">
        <v>283</v>
      </c>
      <c r="G48" s="150" t="s">
        <v>284</v>
      </c>
      <c r="H48" s="148">
        <v>1</v>
      </c>
      <c r="I48" s="151" t="s">
        <v>285</v>
      </c>
    </row>
    <row r="49" spans="3:9" ht="17" customHeight="1" x14ac:dyDescent="0.35">
      <c r="D49" s="148"/>
      <c r="E49" s="149"/>
      <c r="F49" s="148" t="s">
        <v>286</v>
      </c>
      <c r="G49" s="150" t="s">
        <v>100</v>
      </c>
      <c r="H49" s="148">
        <v>0</v>
      </c>
      <c r="I49" s="151"/>
    </row>
    <row r="50" spans="3:9" ht="16" customHeight="1" x14ac:dyDescent="0.35">
      <c r="D50" s="152"/>
      <c r="E50" s="149"/>
      <c r="F50" s="148" t="s">
        <v>287</v>
      </c>
      <c r="G50" s="150" t="s">
        <v>102</v>
      </c>
      <c r="H50" s="148">
        <v>0</v>
      </c>
      <c r="I50" s="151"/>
    </row>
    <row r="51" spans="3:9" ht="23" customHeight="1" x14ac:dyDescent="0.35">
      <c r="D51" s="148" t="s">
        <v>162</v>
      </c>
      <c r="E51" s="149">
        <v>1</v>
      </c>
      <c r="F51" s="148" t="s">
        <v>288</v>
      </c>
      <c r="G51" s="150" t="s">
        <v>289</v>
      </c>
      <c r="H51" s="148">
        <v>0</v>
      </c>
      <c r="I51" s="151"/>
    </row>
    <row r="52" spans="3:9" ht="19" customHeight="1" x14ac:dyDescent="0.35">
      <c r="D52" s="152"/>
      <c r="E52" s="149"/>
      <c r="F52" s="148" t="s">
        <v>290</v>
      </c>
      <c r="G52" s="150" t="s">
        <v>291</v>
      </c>
      <c r="H52" s="148">
        <v>1</v>
      </c>
      <c r="I52" s="151" t="s">
        <v>292</v>
      </c>
    </row>
    <row r="53" spans="3:9" ht="17" customHeight="1" x14ac:dyDescent="0.35">
      <c r="D53" s="152"/>
      <c r="E53" s="149"/>
      <c r="F53" s="148" t="s">
        <v>293</v>
      </c>
      <c r="G53" s="150" t="s">
        <v>294</v>
      </c>
      <c r="H53" s="148">
        <v>0</v>
      </c>
      <c r="I53" s="151"/>
    </row>
    <row r="54" spans="3:9" x14ac:dyDescent="0.35">
      <c r="D54" s="148" t="s">
        <v>163</v>
      </c>
      <c r="E54" s="149">
        <v>1</v>
      </c>
      <c r="F54" s="148" t="s">
        <v>295</v>
      </c>
      <c r="G54" s="150" t="s">
        <v>296</v>
      </c>
      <c r="H54" s="148">
        <v>0</v>
      </c>
      <c r="I54" s="151"/>
    </row>
    <row r="55" spans="3:9" ht="28" customHeight="1" x14ac:dyDescent="0.35">
      <c r="D55" s="148"/>
      <c r="E55" s="149"/>
      <c r="F55" s="148" t="s">
        <v>297</v>
      </c>
      <c r="G55" s="150" t="s">
        <v>106</v>
      </c>
      <c r="H55" s="148">
        <v>1</v>
      </c>
      <c r="I55" s="151" t="s">
        <v>298</v>
      </c>
    </row>
    <row r="56" spans="3:9" x14ac:dyDescent="0.35">
      <c r="D56" s="148"/>
      <c r="E56" s="149"/>
      <c r="F56" s="148" t="s">
        <v>299</v>
      </c>
      <c r="G56" s="150" t="s">
        <v>107</v>
      </c>
      <c r="H56" s="148">
        <v>0</v>
      </c>
      <c r="I56" s="151"/>
    </row>
    <row r="57" spans="3:9" x14ac:dyDescent="0.35">
      <c r="D57" s="148" t="s">
        <v>164</v>
      </c>
      <c r="E57" s="149">
        <v>1</v>
      </c>
      <c r="F57" s="148" t="s">
        <v>300</v>
      </c>
      <c r="G57" s="150" t="s">
        <v>109</v>
      </c>
      <c r="H57" s="148">
        <v>0</v>
      </c>
      <c r="I57" s="151"/>
    </row>
    <row r="58" spans="3:9" x14ac:dyDescent="0.35">
      <c r="D58" s="152"/>
      <c r="E58" s="149"/>
      <c r="F58" s="148" t="s">
        <v>301</v>
      </c>
      <c r="G58" s="150" t="s">
        <v>110</v>
      </c>
      <c r="H58" s="148">
        <v>1</v>
      </c>
      <c r="I58" s="151" t="s">
        <v>302</v>
      </c>
    </row>
    <row r="59" spans="3:9" x14ac:dyDescent="0.35">
      <c r="D59" s="148" t="s">
        <v>222</v>
      </c>
      <c r="E59" s="149">
        <v>1</v>
      </c>
      <c r="F59" s="148" t="s">
        <v>303</v>
      </c>
      <c r="G59" s="150" t="s">
        <v>111</v>
      </c>
      <c r="H59" s="148">
        <v>0</v>
      </c>
      <c r="I59" s="151"/>
    </row>
    <row r="60" spans="3:9" x14ac:dyDescent="0.35">
      <c r="D60" s="152"/>
      <c r="E60" s="149"/>
      <c r="F60" s="148" t="s">
        <v>304</v>
      </c>
      <c r="G60" s="150" t="s">
        <v>59</v>
      </c>
      <c r="H60" s="148">
        <v>0</v>
      </c>
      <c r="I60" s="151"/>
    </row>
    <row r="61" spans="3:9" ht="23" x14ac:dyDescent="0.35">
      <c r="D61" s="152"/>
      <c r="E61" s="149"/>
      <c r="F61" s="148" t="s">
        <v>305</v>
      </c>
      <c r="G61" s="150" t="s">
        <v>112</v>
      </c>
      <c r="H61" s="148">
        <v>1</v>
      </c>
      <c r="I61" s="151" t="s">
        <v>306</v>
      </c>
    </row>
    <row r="62" spans="3:9" x14ac:dyDescent="0.35">
      <c r="D62" s="148"/>
      <c r="E62" s="149"/>
      <c r="F62" s="148" t="s">
        <v>305</v>
      </c>
      <c r="G62" s="150"/>
      <c r="H62" s="148">
        <v>0</v>
      </c>
      <c r="I62" s="150"/>
    </row>
    <row r="64" spans="3:9" x14ac:dyDescent="0.35">
      <c r="C64" s="155"/>
      <c r="D64" s="191" t="s">
        <v>310</v>
      </c>
      <c r="E64" s="155"/>
    </row>
  </sheetData>
  <hyperlinks>
    <hyperlink ref="D64" location="'Index of Suitability (IS)'!A1" tooltip="Continue to MCDA Index of Sustainability" display="Continue----&gt;"/>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C1:U60"/>
  <sheetViews>
    <sheetView showGridLines="0" zoomScale="50" zoomScaleNormal="50" workbookViewId="0">
      <selection activeCell="I2" sqref="I2:M2"/>
    </sheetView>
  </sheetViews>
  <sheetFormatPr defaultColWidth="16.26953125" defaultRowHeight="13" x14ac:dyDescent="0.35"/>
  <cols>
    <col min="1" max="1" width="16.26953125" style="6" customWidth="1"/>
    <col min="2" max="2" width="16" style="6" customWidth="1"/>
    <col min="3" max="3" width="2.7265625" style="6" customWidth="1"/>
    <col min="4" max="4" width="17.54296875" style="6" customWidth="1"/>
    <col min="5" max="5" width="1.90625" style="6" customWidth="1"/>
    <col min="6" max="6" width="21.1796875" style="6" customWidth="1"/>
    <col min="7" max="7" width="21.08984375" style="6" customWidth="1"/>
    <col min="8" max="8" width="18.81640625" style="6" customWidth="1"/>
    <col min="9" max="13" width="16.26953125" style="6"/>
    <col min="14" max="14" width="24.81640625" style="6" customWidth="1"/>
    <col min="15" max="18" width="16.26953125" style="6"/>
    <col min="19" max="19" width="19.1796875" style="6" customWidth="1"/>
    <col min="20" max="20" width="1.81640625" style="6" customWidth="1"/>
    <col min="21" max="21" width="16.26953125" style="6" customWidth="1"/>
    <col min="22" max="22" width="3.36328125" style="6" customWidth="1"/>
    <col min="23" max="16384" width="16.26953125" style="6"/>
  </cols>
  <sheetData>
    <row r="1" spans="3:21" ht="25.5" customHeight="1" x14ac:dyDescent="0.35"/>
    <row r="2" spans="3:21" ht="34.5" customHeight="1" x14ac:dyDescent="0.35">
      <c r="C2" s="92"/>
      <c r="D2" s="92"/>
      <c r="E2" s="92"/>
      <c r="F2" s="92"/>
      <c r="G2" s="92"/>
      <c r="H2" s="92"/>
      <c r="I2" s="196" t="s">
        <v>217</v>
      </c>
      <c r="J2" s="196"/>
      <c r="K2" s="196"/>
      <c r="L2" s="196"/>
      <c r="M2" s="196"/>
      <c r="N2" s="92"/>
      <c r="O2" s="92"/>
      <c r="P2" s="92"/>
      <c r="Q2" s="92"/>
      <c r="R2" s="92"/>
      <c r="S2" s="92"/>
      <c r="T2" s="92"/>
      <c r="U2" s="118"/>
    </row>
    <row r="3" spans="3:21" ht="13.5" thickBot="1" x14ac:dyDescent="0.4">
      <c r="C3" s="93"/>
      <c r="D3" s="93"/>
      <c r="E3" s="93"/>
      <c r="F3" s="93"/>
      <c r="G3" s="93"/>
      <c r="H3" s="93"/>
      <c r="I3" s="93"/>
      <c r="J3" s="93"/>
      <c r="K3" s="93"/>
      <c r="L3" s="93"/>
      <c r="M3" s="93"/>
      <c r="N3" s="93"/>
      <c r="O3" s="93"/>
      <c r="P3" s="93"/>
      <c r="Q3" s="93"/>
      <c r="R3" s="93"/>
      <c r="S3" s="93"/>
      <c r="T3" s="93"/>
      <c r="U3" s="93"/>
    </row>
    <row r="4" spans="3:21" ht="30" customHeight="1" thickBot="1" x14ac:dyDescent="0.4">
      <c r="C4" s="110"/>
      <c r="D4" s="109"/>
      <c r="E4" s="109"/>
      <c r="F4" s="95" t="s">
        <v>154</v>
      </c>
      <c r="G4" s="95" t="s">
        <v>155</v>
      </c>
      <c r="H4" s="95" t="s">
        <v>156</v>
      </c>
      <c r="I4" s="95" t="s">
        <v>157</v>
      </c>
      <c r="J4" s="95" t="s">
        <v>158</v>
      </c>
      <c r="K4" s="95" t="s">
        <v>159</v>
      </c>
      <c r="L4" s="95" t="s">
        <v>161</v>
      </c>
      <c r="M4" s="95" t="s">
        <v>160</v>
      </c>
      <c r="N4" s="95" t="s">
        <v>61</v>
      </c>
      <c r="O4" s="95" t="s">
        <v>90</v>
      </c>
      <c r="P4" s="95" t="s">
        <v>162</v>
      </c>
      <c r="Q4" s="95" t="s">
        <v>163</v>
      </c>
      <c r="R4" s="95" t="s">
        <v>164</v>
      </c>
      <c r="S4" s="95" t="s">
        <v>222</v>
      </c>
      <c r="T4" s="96"/>
      <c r="U4" s="94"/>
    </row>
    <row r="5" spans="3:21" s="61" customFormat="1" ht="67" customHeight="1" thickBot="1" x14ac:dyDescent="0.4">
      <c r="C5" s="111"/>
      <c r="D5" s="119" t="s">
        <v>113</v>
      </c>
      <c r="E5" s="103"/>
      <c r="F5" s="120" t="s">
        <v>20</v>
      </c>
      <c r="G5" s="120" t="s">
        <v>152</v>
      </c>
      <c r="H5" s="120" t="s">
        <v>22</v>
      </c>
      <c r="I5" s="120" t="s">
        <v>23</v>
      </c>
      <c r="J5" s="120" t="s">
        <v>24</v>
      </c>
      <c r="K5" s="120" t="s">
        <v>25</v>
      </c>
      <c r="L5" s="120" t="s">
        <v>26</v>
      </c>
      <c r="M5" s="120" t="s">
        <v>27</v>
      </c>
      <c r="N5" s="120" t="s">
        <v>28</v>
      </c>
      <c r="O5" s="120" t="s">
        <v>29</v>
      </c>
      <c r="P5" s="120" t="s">
        <v>30</v>
      </c>
      <c r="Q5" s="120" t="s">
        <v>31</v>
      </c>
      <c r="R5" s="120" t="s">
        <v>32</v>
      </c>
      <c r="S5" s="120" t="s">
        <v>33</v>
      </c>
      <c r="T5" s="97"/>
      <c r="U5" s="94"/>
    </row>
    <row r="6" spans="3:21" ht="61.5" customHeight="1" thickBot="1" x14ac:dyDescent="0.4">
      <c r="C6" s="112"/>
      <c r="D6" s="107" t="s">
        <v>220</v>
      </c>
      <c r="E6" s="107"/>
      <c r="F6" s="185" t="s">
        <v>37</v>
      </c>
      <c r="G6" s="117" t="s">
        <v>38</v>
      </c>
      <c r="H6" s="117" t="s">
        <v>42</v>
      </c>
      <c r="I6" s="117" t="s">
        <v>47</v>
      </c>
      <c r="J6" s="117" t="s">
        <v>48</v>
      </c>
      <c r="K6" s="117" t="s">
        <v>50</v>
      </c>
      <c r="L6" s="117" t="s">
        <v>56</v>
      </c>
      <c r="M6" s="117" t="s">
        <v>58</v>
      </c>
      <c r="N6" s="117" t="s">
        <v>73</v>
      </c>
      <c r="O6" s="117" t="s">
        <v>98</v>
      </c>
      <c r="P6" s="117" t="s">
        <v>104</v>
      </c>
      <c r="Q6" s="117" t="s">
        <v>106</v>
      </c>
      <c r="R6" s="117" t="s">
        <v>110</v>
      </c>
      <c r="S6" s="117" t="s">
        <v>112</v>
      </c>
      <c r="T6" s="98"/>
      <c r="U6" s="93"/>
    </row>
    <row r="7" spans="3:21" ht="15.5" thickTop="1" thickBot="1" x14ac:dyDescent="0.4">
      <c r="C7" s="112"/>
      <c r="D7" s="113" t="s">
        <v>0</v>
      </c>
      <c r="E7" s="108"/>
      <c r="F7" s="106">
        <f>VLOOKUP($F$6, Table3[[#All],[Size of evaluation elements]:[WSM]], 2, 0)</f>
        <v>0</v>
      </c>
      <c r="G7" s="106">
        <f>VLOOKUP($G$6, Table4[[#All],[Nature of Indicators’ values/]:[WSM]], 2, 0)</f>
        <v>1</v>
      </c>
      <c r="H7" s="106">
        <f>VLOOKUP($H$6, Table5[[#All],[Number of decision-makers]:[WSM]], 2, 0)</f>
        <v>1</v>
      </c>
      <c r="I7" s="106">
        <f>VLOOKUP($I$6, Table6[[#All],[Type of solution]:[WSM]], 2, 0)</f>
        <v>0</v>
      </c>
      <c r="J7" s="106">
        <f>VLOOKUP($J$6,Table7[[#All],[Technical Support]:[WSM]], 2, 0)</f>
        <v>1</v>
      </c>
      <c r="K7" s="106">
        <f>VLOOKUP($K$6, Table8[[#All],[Type of decision-making problem]:[WSM]], 2, 0)</f>
        <v>1</v>
      </c>
      <c r="L7" s="106">
        <f>VLOOKUP($L$6, Table16[[#All],[Solution Approach]:[WSM]], 2, 0)</f>
        <v>0</v>
      </c>
      <c r="M7" s="106">
        <f>VLOOKUP($M$6, Table15[[#All],[Ease of use]:[WSM]], 2, 0)</f>
        <v>0</v>
      </c>
      <c r="N7" s="106">
        <f>VLOOKUP($N$6, Table14[[#All],[Implementation procedure]:[WSM]], 2, 0)</f>
        <v>0</v>
      </c>
      <c r="O7" s="106">
        <f>VLOOKUP($O$6, Table13[[#All],[Output Typology]:[WSM]], 2, 0)</f>
        <v>0</v>
      </c>
      <c r="P7" s="106">
        <f>VLOOKUP($P$6, Table12[[#All],[Decision Problem Solution]:[WSM]], 2, 0)</f>
        <v>1</v>
      </c>
      <c r="Q7" s="106">
        <f>VLOOKUP($Q$6, Table11[[#All],[Structure of criteria]:[WSM]], 2, 0)</f>
        <v>1</v>
      </c>
      <c r="R7" s="106">
        <f>VLOOKUP($R$6, Table10[[#All],[Software support]:[WSM]], 2, 0)</f>
        <v>1</v>
      </c>
      <c r="S7" s="106">
        <f>VLOOKUP($S$6, Table9[[#All],[Degree of using the method in area]:[WSM]], 2, 0)</f>
        <v>1</v>
      </c>
      <c r="T7" s="98"/>
      <c r="U7" s="93"/>
    </row>
    <row r="8" spans="3:21" ht="15.5" thickTop="1" thickBot="1" x14ac:dyDescent="0.4">
      <c r="C8" s="112"/>
      <c r="D8" s="113" t="s">
        <v>1</v>
      </c>
      <c r="E8" s="108"/>
      <c r="F8" s="106">
        <f>VLOOKUP($F$6, Table3[[#All],[Size of evaluation elements]:[WSM]], 3, 0)</f>
        <v>0</v>
      </c>
      <c r="G8" s="106">
        <f>VLOOKUP($G$6, Table4[[#All],[Nature of Indicators’ values/]:[WSM]], 3, 0)</f>
        <v>1</v>
      </c>
      <c r="H8" s="106">
        <f>VLOOKUP($H$6, Table5[[#All],[Number of decision-makers]:[WSM]], 3, 0)</f>
        <v>1</v>
      </c>
      <c r="I8" s="106">
        <f>VLOOKUP($I$6, Table6[[#All],[Type of solution]:[WSM]], 3, 0)</f>
        <v>0</v>
      </c>
      <c r="J8" s="106">
        <f>VLOOKUP($J$6,Table7[[#All],[Technical Support]:[WSM]], 3, 0)</f>
        <v>0</v>
      </c>
      <c r="K8" s="106">
        <f>VLOOKUP($K$6, Table8[[#All],[Type of decision-making problem]:[WSM]], 3, 0)</f>
        <v>1</v>
      </c>
      <c r="L8" s="106">
        <f>VLOOKUP($L$6, Table16[[#All],[Solution Approach]:[WSM]], 3, 0)</f>
        <v>0</v>
      </c>
      <c r="M8" s="106">
        <f>VLOOKUP($M$6, Table15[[#All],[Ease of use]:[WSM]], 3, 0)</f>
        <v>0</v>
      </c>
      <c r="N8" s="106">
        <f>VLOOKUP($N$6, Table14[[#All],[Implementation procedure]:[WSM]], 3, 0)</f>
        <v>0</v>
      </c>
      <c r="O8" s="106">
        <f>VLOOKUP($O$6, Table13[[#All],[Output Typology]:[WSM]], 3, 0)</f>
        <v>0</v>
      </c>
      <c r="P8" s="106">
        <f>VLOOKUP($P$6, Table12[[#All],[Decision Problem Solution]:[WSM]], 3, 0)</f>
        <v>0</v>
      </c>
      <c r="Q8" s="106">
        <f>VLOOKUP($Q$6, Table11[[#All],[Structure of criteria]:[WSM]], 3, 0)</f>
        <v>1</v>
      </c>
      <c r="R8" s="106">
        <f>VLOOKUP($R$6, Table10[[#All],[Software support]:[WSM]], 3, 0)</f>
        <v>1</v>
      </c>
      <c r="S8" s="106">
        <f>VLOOKUP($S$6, Table9[[#All],[Degree of using the method in area]:[WSM]], 3, 0)</f>
        <v>1</v>
      </c>
      <c r="T8" s="98"/>
      <c r="U8" s="93"/>
    </row>
    <row r="9" spans="3:21" ht="15.5" thickTop="1" thickBot="1" x14ac:dyDescent="0.4">
      <c r="C9" s="112"/>
      <c r="D9" s="113" t="s">
        <v>2</v>
      </c>
      <c r="E9" s="108"/>
      <c r="F9" s="106">
        <f>VLOOKUP($F$6, Table3[[#All],[Size of evaluation elements]:[WSM]], 4, 0)</f>
        <v>1</v>
      </c>
      <c r="G9" s="106">
        <f>VLOOKUP($G$6, Table4[[#All],[Nature of Indicators’ values/]:[WSM]], 4, 0)</f>
        <v>1</v>
      </c>
      <c r="H9" s="106">
        <f>VLOOKUP($H$6, Table5[[#All],[Number of decision-makers]:[WSM]], 4, 0)</f>
        <v>1</v>
      </c>
      <c r="I9" s="106">
        <f>VLOOKUP($I$6, Table6[[#All],[Type of solution]:[WSM]], 4, 0)</f>
        <v>0</v>
      </c>
      <c r="J9" s="106">
        <f>VLOOKUP($J$6,Table7[[#All],[Technical Support]:[WSM]], 4, 0)</f>
        <v>1</v>
      </c>
      <c r="K9" s="106">
        <f>VLOOKUP($K$6, Table8[[#All],[Type of decision-making problem]:[WSM]], 4, 0)</f>
        <v>1</v>
      </c>
      <c r="L9" s="106">
        <f>VLOOKUP($L$6, Table16[[#All],[Solution Approach]:[WSM]], 4, 0)</f>
        <v>0</v>
      </c>
      <c r="M9" s="106">
        <f>VLOOKUP($M$6, Table15[[#All],[Ease of use]:[WSM]], 4, 0)</f>
        <v>0</v>
      </c>
      <c r="N9" s="106">
        <f>VLOOKUP($N$6, Table14[[#All],[Implementation procedure]:[WSM]], 4, 0)</f>
        <v>0</v>
      </c>
      <c r="O9" s="106">
        <f>VLOOKUP($O$6, Table13[[#All],[Output Typology]:[WSM]], 4, 0)</f>
        <v>0</v>
      </c>
      <c r="P9" s="106">
        <f>VLOOKUP($P$6, Table12[[#All],[Decision Problem Solution]:[WSM]], 4, 0)</f>
        <v>0</v>
      </c>
      <c r="Q9" s="106">
        <f>VLOOKUP($Q$6, Table11[[#All],[Structure of criteria]:[WSM]], 4, 0)</f>
        <v>1</v>
      </c>
      <c r="R9" s="106">
        <f>VLOOKUP($R$6, Table10[[#All],[Software support]:[WSM]], 4, 0)</f>
        <v>1</v>
      </c>
      <c r="S9" s="106">
        <f>VLOOKUP($S$6, Table9[[#All],[Degree of using the method in area]:[WSM]], 4, 0)</f>
        <v>1</v>
      </c>
      <c r="T9" s="98"/>
      <c r="U9" s="93"/>
    </row>
    <row r="10" spans="3:21" ht="15.5" thickTop="1" thickBot="1" x14ac:dyDescent="0.4">
      <c r="C10" s="112"/>
      <c r="D10" s="113" t="s">
        <v>3</v>
      </c>
      <c r="E10" s="108"/>
      <c r="F10" s="106">
        <f>VLOOKUP($F$6, Table3[[#All],[Size of evaluation elements]:[WSM]], 5, 0)</f>
        <v>1</v>
      </c>
      <c r="G10" s="106">
        <f>VLOOKUP($G$6, Table4[[#All],[Nature of Indicators’ values/]:[WSM]], 5, 0)</f>
        <v>1</v>
      </c>
      <c r="H10" s="106">
        <f>VLOOKUP($H$6, Table5[[#All],[Number of decision-makers]:[WSM]], 5, 0)</f>
        <v>0</v>
      </c>
      <c r="I10" s="106">
        <f>VLOOKUP($I$6, Table6[[#All],[Type of solution]:[WSM]], 5, 0)</f>
        <v>1</v>
      </c>
      <c r="J10" s="106">
        <f>VLOOKUP($J$6,Table7[[#All],[Technical Support]:[WSM]], 5, 0)</f>
        <v>1</v>
      </c>
      <c r="K10" s="106">
        <f>VLOOKUP($K$6, Table8[[#All],[Type of decision-making problem]:[WSM]], 5, 0)</f>
        <v>1</v>
      </c>
      <c r="L10" s="106">
        <f>VLOOKUP($L$6, Table16[[#All],[Solution Approach]:[WSM]], 5, 0)</f>
        <v>1</v>
      </c>
      <c r="M10" s="106">
        <f>VLOOKUP($M$6, Table15[[#All],[Ease of use]:[WSM]], 5, 0)</f>
        <v>1</v>
      </c>
      <c r="N10" s="106">
        <f>VLOOKUP($N$6, Table14[[#All],[Implementation procedure]:[WSM]], 5, 0)</f>
        <v>1</v>
      </c>
      <c r="O10" s="106">
        <f>VLOOKUP($O$6, Table13[[#All],[Output Typology]:[WSM]], 5, 0)</f>
        <v>1</v>
      </c>
      <c r="P10" s="106">
        <f>VLOOKUP($P$6, Table12[[#All],[Decision Problem Solution]:[WSM]], 5, 0)</f>
        <v>0</v>
      </c>
      <c r="Q10" s="106">
        <f>VLOOKUP($Q$6, Table11[[#All],[Structure of criteria]:[WSM]], 5, 0)</f>
        <v>1</v>
      </c>
      <c r="R10" s="106">
        <f>VLOOKUP($R$6, Table10[[#All],[Software support]:[WSM]], 5, 0)</f>
        <v>1</v>
      </c>
      <c r="S10" s="106">
        <f>VLOOKUP($S$6, Table9[[#All],[Degree of using the method in area]:[WSM]], 5, 0)</f>
        <v>1</v>
      </c>
      <c r="T10" s="98"/>
      <c r="U10" s="93"/>
    </row>
    <row r="11" spans="3:21" ht="15.5" thickTop="1" thickBot="1" x14ac:dyDescent="0.4">
      <c r="C11" s="112"/>
      <c r="D11" s="113" t="s">
        <v>4</v>
      </c>
      <c r="E11" s="108"/>
      <c r="F11" s="106">
        <f>VLOOKUP($F$6, Table3[[#All],[Size of evaluation elements]:[WSM]], 6, 0)</f>
        <v>0</v>
      </c>
      <c r="G11" s="106">
        <f>VLOOKUP($G$6, Table4[[#All],[Nature of Indicators’ values/]:[WSM]], 6, 0)</f>
        <v>1</v>
      </c>
      <c r="H11" s="106">
        <f>VLOOKUP($H$6, Table5[[#All],[Number of decision-makers]:[WSM]], 6, 0)</f>
        <v>1</v>
      </c>
      <c r="I11" s="106">
        <f>VLOOKUP($I$6, Table6[[#All],[Type of solution]:[WSM]], 6, 0)</f>
        <v>0</v>
      </c>
      <c r="J11" s="106">
        <f>VLOOKUP($J$6,Table7[[#All],[Technical Support]:[WSM]], 6, 0)</f>
        <v>0</v>
      </c>
      <c r="K11" s="106">
        <f>VLOOKUP($K$6, Table8[[#All],[Type of decision-making problem]:[WSM]], 6, 0)</f>
        <v>1</v>
      </c>
      <c r="L11" s="106">
        <f>VLOOKUP($L$6, Table16[[#All],[Solution Approach]:[WSM]], 6, 0)</f>
        <v>0</v>
      </c>
      <c r="M11" s="106">
        <f>VLOOKUP($M$6, Table15[[#All],[Ease of use]:[WSM]], 6, 0)</f>
        <v>0</v>
      </c>
      <c r="N11" s="106">
        <f>VLOOKUP($N$6, Table14[[#All],[Implementation procedure]:[WSM]], 6, 0)</f>
        <v>0</v>
      </c>
      <c r="O11" s="106">
        <f>VLOOKUP($O$6, Table13[[#All],[Output Typology]:[WSM]], 6, 0)</f>
        <v>0</v>
      </c>
      <c r="P11" s="106">
        <f>VLOOKUP($P$6, Table12[[#All],[Decision Problem Solution]:[WSM]], 6, 0)</f>
        <v>1</v>
      </c>
      <c r="Q11" s="106">
        <f>VLOOKUP($Q$6, Table11[[#All],[Structure of criteria]:[WSM]], 6, 0)</f>
        <v>1</v>
      </c>
      <c r="R11" s="106">
        <f>VLOOKUP($R$6, Table10[[#All],[Software support]:[WSM]], 6, 0)</f>
        <v>1</v>
      </c>
      <c r="S11" s="106">
        <f>VLOOKUP($S$6, Table9[[#All],[Degree of using the method in area]:[WSM]], 6, 0)</f>
        <v>1</v>
      </c>
      <c r="T11" s="98"/>
      <c r="U11" s="93"/>
    </row>
    <row r="12" spans="3:21" ht="15.5" thickTop="1" thickBot="1" x14ac:dyDescent="0.4">
      <c r="C12" s="112"/>
      <c r="D12" s="113" t="s">
        <v>5</v>
      </c>
      <c r="E12" s="108"/>
      <c r="F12" s="106">
        <f>VLOOKUP($F$6, Table3[[#All],[Size of evaluation elements]:[WSM]], 7, 0)</f>
        <v>1</v>
      </c>
      <c r="G12" s="106">
        <f>VLOOKUP($G$6, Table4[[#All],[Nature of Indicators’ values/]:[WSM]], 7, 0)</f>
        <v>0</v>
      </c>
      <c r="H12" s="106">
        <f>VLOOKUP($H$6, Table5[[#All],[Number of decision-makers]:[WSM]], 7, 0)</f>
        <v>0</v>
      </c>
      <c r="I12" s="106">
        <f>VLOOKUP($I$6, Table6[[#All],[Type of solution]:[WSM]], 7, 0)</f>
        <v>1</v>
      </c>
      <c r="J12" s="106">
        <f>VLOOKUP($J$6,Table7[[#All],[Technical Support]:[WSM]], 7, 0)</f>
        <v>1</v>
      </c>
      <c r="K12" s="106">
        <f>VLOOKUP($K$6, Table8[[#All],[Type of decision-making problem]:[WSM]], 7, 0)</f>
        <v>1</v>
      </c>
      <c r="L12" s="106">
        <f>VLOOKUP($L$6, Table16[[#All],[Solution Approach]:[WSM]], 7, 0)</f>
        <v>1</v>
      </c>
      <c r="M12" s="106">
        <f>VLOOKUP($M$6, Table15[[#All],[Ease of use]:[WSM]], 7, 0)</f>
        <v>1</v>
      </c>
      <c r="N12" s="106">
        <f>VLOOKUP($N$6, Table14[[#All],[Implementation procedure]:[WSM]], 7, 0)</f>
        <v>0</v>
      </c>
      <c r="O12" s="106">
        <f>VLOOKUP($O$6, Table13[[#All],[Output Typology]:[WSM]], 7, 0)</f>
        <v>1</v>
      </c>
      <c r="P12" s="106">
        <f>VLOOKUP($P$6, Table12[[#All],[Decision Problem Solution]:[WSM]], 7, 0)</f>
        <v>0</v>
      </c>
      <c r="Q12" s="106">
        <f>VLOOKUP($Q$6, Table11[[#All],[Structure of criteria]:[WSM]], 7, 0)</f>
        <v>0</v>
      </c>
      <c r="R12" s="106">
        <f>VLOOKUP($R$6, Table10[[#All],[Software support]:[WSM]], 7, 0)</f>
        <v>0</v>
      </c>
      <c r="S12" s="106">
        <f>VLOOKUP($S$6, Table9[[#All],[Degree of using the method in area]:[WSM]], 7, 0)</f>
        <v>1</v>
      </c>
      <c r="T12" s="98"/>
      <c r="U12" s="93"/>
    </row>
    <row r="13" spans="3:21" ht="15.5" thickTop="1" thickBot="1" x14ac:dyDescent="0.4">
      <c r="C13" s="112"/>
      <c r="D13" s="113" t="s">
        <v>6</v>
      </c>
      <c r="E13" s="108"/>
      <c r="F13" s="106">
        <f>VLOOKUP($F$6, Table3[[#All],[Size of evaluation elements]:[WSM]], 8, 0)</f>
        <v>0</v>
      </c>
      <c r="G13" s="106">
        <f>VLOOKUP($G$6, Table4[[#All],[Nature of Indicators’ values/]:[WSM]], 8, 0)</f>
        <v>1</v>
      </c>
      <c r="H13" s="106">
        <f>VLOOKUP($H$6, Table5[[#All],[Number of decision-makers]:[WSM]], 8, 0)</f>
        <v>1</v>
      </c>
      <c r="I13" s="106">
        <f>VLOOKUP($I$6, Table6[[#All],[Type of solution]:[WSM]], 8, 0)</f>
        <v>0</v>
      </c>
      <c r="J13" s="106">
        <f>VLOOKUP($J$6,Table7[[#All],[Technical Support]:[WSM]], 8, 0)</f>
        <v>1</v>
      </c>
      <c r="K13" s="106">
        <f>VLOOKUP($K$6, Table8[[#All],[Type of decision-making problem]:[WSM]], 8, 0)</f>
        <v>1</v>
      </c>
      <c r="L13" s="106">
        <f>VLOOKUP($L$6, Table16[[#All],[Solution Approach]:[WSM]], 8, 0)</f>
        <v>1</v>
      </c>
      <c r="M13" s="106">
        <f>VLOOKUP($M$6, Table15[[#All],[Ease of use]:[WSM]], 8, 0)</f>
        <v>0</v>
      </c>
      <c r="N13" s="106">
        <f>VLOOKUP($N$6, Table14[[#All],[Implementation procedure]:[WSM]], 8, 0)</f>
        <v>0</v>
      </c>
      <c r="O13" s="106">
        <f>VLOOKUP($O$6, Table13[[#All],[Output Typology]:[WSM]], 8, 0)</f>
        <v>0</v>
      </c>
      <c r="P13" s="106">
        <f>VLOOKUP($P$6, Table12[[#All],[Decision Problem Solution]:[WSM]], 8, 0)</f>
        <v>1</v>
      </c>
      <c r="Q13" s="106">
        <f>VLOOKUP($Q$6, Table11[[#All],[Structure of criteria]:[WSM]], 8, 0)</f>
        <v>1</v>
      </c>
      <c r="R13" s="106">
        <f>VLOOKUP($R$6, Table10[[#All],[Software support]:[WSM]], 8, 0)</f>
        <v>0</v>
      </c>
      <c r="S13" s="106">
        <f>VLOOKUP($S$6, Table9[[#All],[Degree of using the method in area]:[WSM]], 8, 0)</f>
        <v>0</v>
      </c>
      <c r="T13" s="98"/>
      <c r="U13" s="93"/>
    </row>
    <row r="14" spans="3:21" ht="15.5" thickTop="1" thickBot="1" x14ac:dyDescent="0.4">
      <c r="C14" s="112"/>
      <c r="D14" s="113" t="s">
        <v>7</v>
      </c>
      <c r="E14" s="108"/>
      <c r="F14" s="106">
        <f>VLOOKUP($F$6, Table3[[#All],[Size of evaluation elements]:[WSM]], 9, 0)</f>
        <v>1</v>
      </c>
      <c r="G14" s="106">
        <f>VLOOKUP($G$6, Table4[[#All],[Nature of Indicators’ values/]:[WSM]], 9, 0)</f>
        <v>0</v>
      </c>
      <c r="H14" s="106">
        <f>VLOOKUP($H$6, Table5[[#All],[Number of decision-makers]:[WSM]], 9, 0)</f>
        <v>1</v>
      </c>
      <c r="I14" s="106">
        <f>VLOOKUP($I$6, Table6[[#All],[Type of solution]:[WSM]], 9, 0)</f>
        <v>1</v>
      </c>
      <c r="J14" s="106">
        <f>VLOOKUP($J$6,Table7[[#All],[Technical Support]:[WSM]], 9, 0)</f>
        <v>1</v>
      </c>
      <c r="K14" s="106">
        <f>VLOOKUP($K$6, Table8[[#All],[Type of decision-making problem]:[WSM]], 9, 0)</f>
        <v>1</v>
      </c>
      <c r="L14" s="106">
        <f>VLOOKUP($L$6, Table16[[#All],[Solution Approach]:[WSM]], 9, 0)</f>
        <v>0</v>
      </c>
      <c r="M14" s="106">
        <f>VLOOKUP($M$6, Table15[[#All],[Ease of use]:[WSM]], 9, 0)</f>
        <v>1</v>
      </c>
      <c r="N14" s="106">
        <f>VLOOKUP($N$6, Table14[[#All],[Implementation procedure]:[WSM]], 9, 0)</f>
        <v>0</v>
      </c>
      <c r="O14" s="106">
        <f>VLOOKUP($O$6, Table13[[#All],[Output Typology]:[WSM]], 9, 0)</f>
        <v>0</v>
      </c>
      <c r="P14" s="106">
        <f>VLOOKUP($P$6, Table12[[#All],[Decision Problem Solution]:[WSM]], 9, 0)</f>
        <v>1</v>
      </c>
      <c r="Q14" s="106">
        <f>VLOOKUP($Q$6, Table11[[#All],[Structure of criteria]:[WSM]], 9, 0)</f>
        <v>0</v>
      </c>
      <c r="R14" s="106">
        <f>VLOOKUP($R$6, Table10[[#All],[Software support]:[WSM]], 9, 0)</f>
        <v>0</v>
      </c>
      <c r="S14" s="106">
        <f>VLOOKUP($S$6, Table9[[#All],[Degree of using the method in area]:[WSM]], 9, 0)</f>
        <v>0</v>
      </c>
      <c r="T14" s="98"/>
      <c r="U14" s="93"/>
    </row>
    <row r="15" spans="3:21" ht="15.5" thickTop="1" thickBot="1" x14ac:dyDescent="0.4">
      <c r="C15" s="112"/>
      <c r="D15" s="113" t="s">
        <v>8</v>
      </c>
      <c r="E15" s="108"/>
      <c r="F15" s="106">
        <f>VLOOKUP($F$6, Table3[[#All],[Size of evaluation elements]:[WSM]], 10, 0)</f>
        <v>1</v>
      </c>
      <c r="G15" s="106">
        <f>VLOOKUP($G$6, Table4[[#All],[Nature of Indicators’ values/]:[WSM]], 10, 0)</f>
        <v>0</v>
      </c>
      <c r="H15" s="106">
        <f>VLOOKUP($H$6, Table5[[#All],[Number of decision-makers]:[WSM]], 10, 0)</f>
        <v>1</v>
      </c>
      <c r="I15" s="106">
        <f>VLOOKUP($I$6, Table6[[#All],[Type of solution]:[WSM]], 10, 0)</f>
        <v>1</v>
      </c>
      <c r="J15" s="106">
        <f>VLOOKUP($J$6,Table7[[#All],[Technical Support]:[WSM]], 10, 0)</f>
        <v>1</v>
      </c>
      <c r="K15" s="106">
        <f>VLOOKUP($K$6, Table8[[#All],[Type of decision-making problem]:[WSM]], 10, 0)</f>
        <v>1</v>
      </c>
      <c r="L15" s="106">
        <f>VLOOKUP($L$6, Table16[[#All],[Solution Approach]:[WSM]], 10, 0)</f>
        <v>0</v>
      </c>
      <c r="M15" s="106">
        <f>VLOOKUP($M$6, Table15[[#All],[Ease of use]:[WSM]], 10, 0)</f>
        <v>1</v>
      </c>
      <c r="N15" s="106">
        <f>VLOOKUP($N$6, Table14[[#All],[Implementation procedure]:[WSM]], 10, 0)</f>
        <v>0</v>
      </c>
      <c r="O15" s="106">
        <f>VLOOKUP($O$6, Table13[[#All],[Output Typology]:[WSM]], 10, 0)</f>
        <v>0</v>
      </c>
      <c r="P15" s="106">
        <f>VLOOKUP($P$6, Table12[[#All],[Decision Problem Solution]:[WSM]], 10, 0)</f>
        <v>1</v>
      </c>
      <c r="Q15" s="106">
        <f>VLOOKUP($Q$6, Table11[[#All],[Structure of criteria]:[WSM]], 10, 0)</f>
        <v>0</v>
      </c>
      <c r="R15" s="106">
        <f>VLOOKUP($R$6, Table10[[#All],[Software support]:[WSM]], 10, 0)</f>
        <v>0</v>
      </c>
      <c r="S15" s="106">
        <f>VLOOKUP($S$6, Table9[[#All],[Degree of using the method in area]:[WSM]], 10, 0)</f>
        <v>0</v>
      </c>
      <c r="T15" s="98"/>
      <c r="U15" s="93"/>
    </row>
    <row r="16" spans="3:21" ht="15.5" thickTop="1" thickBot="1" x14ac:dyDescent="0.4">
      <c r="C16" s="112"/>
      <c r="D16" s="113" t="s">
        <v>9</v>
      </c>
      <c r="E16" s="108"/>
      <c r="F16" s="106">
        <f>VLOOKUP($F$6, Table3[[#All],[Size of evaluation elements]:[WSM]], 11, 0)</f>
        <v>1</v>
      </c>
      <c r="G16" s="106">
        <f>VLOOKUP($G$6, Table4[[#All],[Nature of Indicators’ values/]:[WSM]], 11, 0)</f>
        <v>1</v>
      </c>
      <c r="H16" s="106">
        <f>VLOOKUP($H$6, Table5[[#All],[Number of decision-makers]:[WSM]], 11, 0)</f>
        <v>0</v>
      </c>
      <c r="I16" s="106">
        <f>VLOOKUP($I$6, Table6[[#All],[Type of solution]:[WSM]], 11, 0)</f>
        <v>0</v>
      </c>
      <c r="J16" s="106">
        <f>VLOOKUP($J$6,Table7[[#All],[Technical Support]:[WSM]], 11, 0)</f>
        <v>1</v>
      </c>
      <c r="K16" s="106">
        <f>VLOOKUP($K$6, Table8[[#All],[Type of decision-making problem]:[WSM]], 11, 0)</f>
        <v>1</v>
      </c>
      <c r="L16" s="106">
        <f>VLOOKUP($L$6, Table16[[#All],[Solution Approach]:[WSM]], 11, 0)</f>
        <v>0</v>
      </c>
      <c r="M16" s="106">
        <f>VLOOKUP($M$6, Table15[[#All],[Ease of use]:[WSM]], 11, 0)</f>
        <v>1</v>
      </c>
      <c r="N16" s="106">
        <f>VLOOKUP($N$6, Table14[[#All],[Implementation procedure]:[WSM]], 11, 0)</f>
        <v>0</v>
      </c>
      <c r="O16" s="106">
        <f>VLOOKUP($O$6, Table13[[#All],[Output Typology]:[WSM]], 11, 0)</f>
        <v>0</v>
      </c>
      <c r="P16" s="106">
        <f>VLOOKUP($P$6, Table12[[#All],[Decision Problem Solution]:[WSM]], 11, 0)</f>
        <v>1</v>
      </c>
      <c r="Q16" s="106">
        <f>VLOOKUP($Q$6, Table11[[#All],[Structure of criteria]:[WSM]], 11, 0)</f>
        <v>0</v>
      </c>
      <c r="R16" s="106">
        <f>VLOOKUP($R$6, Table10[[#All],[Software support]:[WSM]], 11, 0)</f>
        <v>0</v>
      </c>
      <c r="S16" s="106">
        <f>VLOOKUP($S$6, Table9[[#All],[Degree of using the method in area]:[WSM]], 11, 0)</f>
        <v>0</v>
      </c>
      <c r="T16" s="98"/>
      <c r="U16" s="93"/>
    </row>
    <row r="17" spans="3:21" ht="15.5" thickTop="1" thickBot="1" x14ac:dyDescent="0.4">
      <c r="C17" s="112"/>
      <c r="D17" s="113" t="s">
        <v>10</v>
      </c>
      <c r="E17" s="108"/>
      <c r="F17" s="106">
        <f>VLOOKUP($F$6, Table3[[#All],[Size of evaluation elements]:[WSM]], 12, 0)</f>
        <v>0</v>
      </c>
      <c r="G17" s="106">
        <f>VLOOKUP($G$6, Table4[[#All],[Nature of Indicators’ values/]:[WSM]], 12, 0)</f>
        <v>1</v>
      </c>
      <c r="H17" s="106">
        <f>VLOOKUP($H$6, Table5[[#All],[Number of decision-makers]:[WSM]], 12, 0)</f>
        <v>1</v>
      </c>
      <c r="I17" s="106">
        <f>VLOOKUP($I$6, Table6[[#All],[Type of solution]:[WSM]], 12, 0)</f>
        <v>0</v>
      </c>
      <c r="J17" s="106">
        <f>VLOOKUP($J$6,Table7[[#All],[Technical Support]:[WSM]], 12, 0)</f>
        <v>1</v>
      </c>
      <c r="K17" s="106">
        <f>VLOOKUP($K$6, Table8[[#All],[Type of decision-making problem]:[WSM]], 12, 0)</f>
        <v>1</v>
      </c>
      <c r="L17" s="106">
        <f>VLOOKUP($L$6, Table16[[#All],[Solution Approach]:[WSM]], 12, 0)</f>
        <v>0</v>
      </c>
      <c r="M17" s="106">
        <f>VLOOKUP($M$6, Table15[[#All],[Ease of use]:[WSM]], 12, 0)</f>
        <v>1</v>
      </c>
      <c r="N17" s="106">
        <f>VLOOKUP($N$6, Table14[[#All],[Implementation procedure]:[WSM]], 12, 0)</f>
        <v>0</v>
      </c>
      <c r="O17" s="106">
        <f>VLOOKUP($O$6, Table13[[#All],[Output Typology]:[WSM]], 12, 0)</f>
        <v>0</v>
      </c>
      <c r="P17" s="106">
        <f>VLOOKUP($P$6, Table12[[#All],[Decision Problem Solution]:[WSM]], 12, 0)</f>
        <v>1</v>
      </c>
      <c r="Q17" s="106">
        <f>VLOOKUP($Q$6, Table11[[#All],[Structure of criteria]:[WSM]], 12, 0)</f>
        <v>0</v>
      </c>
      <c r="R17" s="106">
        <f>VLOOKUP($R$6, Table10[[#All],[Software support]:[WSM]], 12, 0)</f>
        <v>0</v>
      </c>
      <c r="S17" s="106">
        <f>VLOOKUP($S$6, Table9[[#All],[Degree of using the method in area]:[WSM]], 12, 0)</f>
        <v>0</v>
      </c>
      <c r="T17" s="98"/>
      <c r="U17" s="93"/>
    </row>
    <row r="18" spans="3:21" ht="15.5" thickTop="1" thickBot="1" x14ac:dyDescent="0.4">
      <c r="C18" s="112"/>
      <c r="D18" s="113" t="s">
        <v>11</v>
      </c>
      <c r="E18" s="108"/>
      <c r="F18" s="106">
        <f>VLOOKUP($F$6, Table3[[#All],[Size of evaluation elements]:[WSM]], 13, 0)</f>
        <v>1</v>
      </c>
      <c r="G18" s="106">
        <f>VLOOKUP($G$6, Table4[[#All],[Nature of Indicators’ values/]:[WSM]], 13, 0)</f>
        <v>0</v>
      </c>
      <c r="H18" s="106">
        <f>VLOOKUP($H$6, Table5[[#All],[Number of decision-makers]:[WSM]], 13, 0)</f>
        <v>0</v>
      </c>
      <c r="I18" s="106">
        <f>VLOOKUP($I$6, Table6[[#All],[Type of solution]:[WSM]], 13, 0)</f>
        <v>1</v>
      </c>
      <c r="J18" s="106">
        <f>VLOOKUP($J$6,Table7[[#All],[Technical Support]:[WSM]], 13, 0)</f>
        <v>1</v>
      </c>
      <c r="K18" s="106">
        <f>VLOOKUP($K$6, Table8[[#All],[Type of decision-making problem]:[WSM]], 13, 0)</f>
        <v>1</v>
      </c>
      <c r="L18" s="106">
        <f>VLOOKUP($L$6, Table16[[#All],[Solution Approach]:[WSM]], 13, 0)</f>
        <v>1</v>
      </c>
      <c r="M18" s="106">
        <f>VLOOKUP($M$6, Table15[[#All],[Ease of use]:[WSM]], 13, 0)</f>
        <v>1</v>
      </c>
      <c r="N18" s="106">
        <f>VLOOKUP($N$6, Table14[[#All],[Implementation procedure]:[WSM]], 13, 0)</f>
        <v>0</v>
      </c>
      <c r="O18" s="106">
        <f>VLOOKUP($O$6, Table13[[#All],[Output Typology]:[WSM]], 13, 0)</f>
        <v>0</v>
      </c>
      <c r="P18" s="106">
        <f>VLOOKUP($P$6, Table12[[#All],[Decision Problem Solution]:[WSM]], 13, 0)</f>
        <v>0</v>
      </c>
      <c r="Q18" s="106">
        <f>VLOOKUP($Q$6, Table11[[#All],[Structure of criteria]:[WSM]], 13, 0)</f>
        <v>0</v>
      </c>
      <c r="R18" s="106">
        <f>VLOOKUP($R$6, Table10[[#All],[Software support]:[WSM]], 13, 0)</f>
        <v>1</v>
      </c>
      <c r="S18" s="106">
        <f>VLOOKUP($S$6, Table9[[#All],[Degree of using the method in area]:[WSM]], 13, 0)</f>
        <v>0</v>
      </c>
      <c r="T18" s="98"/>
      <c r="U18" s="93"/>
    </row>
    <row r="19" spans="3:21" ht="15.5" thickTop="1" thickBot="1" x14ac:dyDescent="0.4">
      <c r="C19" s="112"/>
      <c r="D19" s="113" t="s">
        <v>12</v>
      </c>
      <c r="E19" s="108"/>
      <c r="F19" s="106">
        <f>VLOOKUP($F$6, Table3[[#All],[Size of evaluation elements]:[WSM]], 14, 0)</f>
        <v>0</v>
      </c>
      <c r="G19" s="106">
        <f>VLOOKUP($G$6, Table4[[#All],[Nature of Indicators’ values/]:[WSM]], 14, 0)</f>
        <v>1</v>
      </c>
      <c r="H19" s="106">
        <f>VLOOKUP($H$6, Table5[[#All],[Number of decision-makers]:[WSM]], 14, 0)</f>
        <v>1</v>
      </c>
      <c r="I19" s="106">
        <f>VLOOKUP($I$6, Table6[[#All],[Type of solution]:[WSM]], 14, 0)</f>
        <v>0</v>
      </c>
      <c r="J19" s="106">
        <f>VLOOKUP($J$6,Table7[[#All],[Technical Support]:[WSM]], 14, 0)</f>
        <v>0</v>
      </c>
      <c r="K19" s="106">
        <f>VLOOKUP($K$6, Table8[[#All],[Type of decision-making problem]:[WSM]], 14, 0)</f>
        <v>1</v>
      </c>
      <c r="L19" s="106">
        <f>VLOOKUP($L$6, Table16[[#All],[Solution Approach]:[WSM]], 14, 0)</f>
        <v>0</v>
      </c>
      <c r="M19" s="106">
        <f>VLOOKUP($M$6, Table15[[#All],[Ease of use]:[WSM]], 14, 0)</f>
        <v>0</v>
      </c>
      <c r="N19" s="106">
        <f>VLOOKUP($N$6, Table14[[#All],[Implementation procedure]:[WSM]], 14, 0)</f>
        <v>0</v>
      </c>
      <c r="O19" s="106">
        <f>VLOOKUP($O$6, Table13[[#All],[Output Typology]:[WSM]], 14, 0)</f>
        <v>0</v>
      </c>
      <c r="P19" s="106">
        <f>VLOOKUP($P$6, Table12[[#All],[Decision Problem Solution]:[WSM]], 14, 0)</f>
        <v>1</v>
      </c>
      <c r="Q19" s="106">
        <f>VLOOKUP($Q$6, Table11[[#All],[Structure of criteria]:[WSM]], 14, 0)</f>
        <v>0</v>
      </c>
      <c r="R19" s="106">
        <f>VLOOKUP($R$6, Table10[[#All],[Software support]:[WSM]], 14, 0)</f>
        <v>1</v>
      </c>
      <c r="S19" s="106">
        <f>VLOOKUP($S$6, Table9[[#All],[Degree of using the method in area]:[WSM]], 14, 0)</f>
        <v>0</v>
      </c>
      <c r="T19" s="98"/>
      <c r="U19" s="93"/>
    </row>
    <row r="20" spans="3:21" ht="15.5" thickTop="1" thickBot="1" x14ac:dyDescent="0.4">
      <c r="C20" s="112"/>
      <c r="D20" s="113" t="s">
        <v>13</v>
      </c>
      <c r="E20" s="108"/>
      <c r="F20" s="106">
        <f>VLOOKUP($F$6, Table3[[#All],[Size of evaluation elements]:[WSM]], 15, 0)</f>
        <v>0</v>
      </c>
      <c r="G20" s="106">
        <f>VLOOKUP($G$6, Table4[[#All],[Nature of Indicators’ values/]:[WSM]], 15, 0)</f>
        <v>1</v>
      </c>
      <c r="H20" s="106">
        <f>VLOOKUP($H$6, Table5[[#All],[Number of decision-makers]:[WSM]], 15, 0)</f>
        <v>1</v>
      </c>
      <c r="I20" s="106">
        <f>VLOOKUP($I$6, Table6[[#All],[Type of solution]:[WSM]], 15, 0)</f>
        <v>0</v>
      </c>
      <c r="J20" s="106">
        <f>VLOOKUP($J$6,Table7[[#All],[Technical Support]:[WSM]], 15, 0)</f>
        <v>0</v>
      </c>
      <c r="K20" s="106">
        <f>VLOOKUP($K$6, Table8[[#All],[Type of decision-making problem]:[WSM]], 15, 0)</f>
        <v>1</v>
      </c>
      <c r="L20" s="106">
        <f>VLOOKUP($L$6, Table16[[#All],[Solution Approach]:[WSM]], 15, 0)</f>
        <v>0</v>
      </c>
      <c r="M20" s="106">
        <f>VLOOKUP($M$6, Table15[[#All],[Ease of use]:[WSM]], 15, 0)</f>
        <v>0</v>
      </c>
      <c r="N20" s="106">
        <f>VLOOKUP($N$6, Table14[[#All],[Implementation procedure]:[WSM]], 15, 0)</f>
        <v>0</v>
      </c>
      <c r="O20" s="106">
        <f>VLOOKUP($O$6, Table13[[#All],[Output Typology]:[WSM]], 15, 0)</f>
        <v>0</v>
      </c>
      <c r="P20" s="106">
        <f>VLOOKUP($P$6, Table12[[#All],[Decision Problem Solution]:[WSM]], 15, 0)</f>
        <v>1</v>
      </c>
      <c r="Q20" s="106">
        <f>VLOOKUP($Q$6, Table11[[#All],[Structure of criteria]:[WSM]], 15, 0)</f>
        <v>1</v>
      </c>
      <c r="R20" s="106">
        <f>VLOOKUP($R$6, Table10[[#All],[Software support]:[WSM]], 15, 0)</f>
        <v>1</v>
      </c>
      <c r="S20" s="106">
        <f>VLOOKUP($S$6, Table9[[#All],[Degree of using the method in area]:[WSM]], 15, 0)</f>
        <v>0</v>
      </c>
      <c r="T20" s="98"/>
      <c r="U20" s="93"/>
    </row>
    <row r="21" spans="3:21" ht="15.5" thickTop="1" thickBot="1" x14ac:dyDescent="0.4">
      <c r="C21" s="112"/>
      <c r="D21" s="113" t="s">
        <v>14</v>
      </c>
      <c r="E21" s="108"/>
      <c r="F21" s="106">
        <f>VLOOKUP($F$6, Table3[[#All],[Size of evaluation elements]:[WSM]], 16, 0)</f>
        <v>0</v>
      </c>
      <c r="G21" s="106">
        <f>VLOOKUP($G$6, Table4[[#All],[Nature of Indicators’ values/]:[WSM]], 16, 0)</f>
        <v>0</v>
      </c>
      <c r="H21" s="106">
        <f>VLOOKUP($H$6, Table5[[#All],[Number of decision-makers]:[WSM]], 16, 0)</f>
        <v>1</v>
      </c>
      <c r="I21" s="106">
        <f>VLOOKUP($I$6, Table6[[#All],[Type of solution]:[WSM]], 16, 0)</f>
        <v>0</v>
      </c>
      <c r="J21" s="106">
        <f>VLOOKUP($J$6,Table7[[#All],[Technical Support]:[WSM]], 16, 0)</f>
        <v>0</v>
      </c>
      <c r="K21" s="106">
        <f>VLOOKUP($K$6, Table8[[#All],[Type of decision-making problem]:[WSM]], 16, 0)</f>
        <v>1</v>
      </c>
      <c r="L21" s="106">
        <f>VLOOKUP($L$6, Table16[[#All],[Solution Approach]:[WSM]], 16, 0)</f>
        <v>0</v>
      </c>
      <c r="M21" s="106">
        <f>VLOOKUP($M$6, Table15[[#All],[Ease of use]:[WSM]], 16, 0)</f>
        <v>0</v>
      </c>
      <c r="N21" s="106">
        <f>VLOOKUP($N$6, Table14[[#All],[Implementation procedure]:[WSM]], 16, 0)</f>
        <v>0</v>
      </c>
      <c r="O21" s="106">
        <f>VLOOKUP($O$6, Table13[[#All],[Output Typology]:[WSM]], 16, 0)</f>
        <v>0</v>
      </c>
      <c r="P21" s="106">
        <f>VLOOKUP($P$6, Table12[[#All],[Decision Problem Solution]:[WSM]], 16, 0)</f>
        <v>1</v>
      </c>
      <c r="Q21" s="106">
        <f>VLOOKUP($Q$6, Table11[[#All],[Structure of criteria]:[WSM]], 16, 0)</f>
        <v>0</v>
      </c>
      <c r="R21" s="106">
        <f>VLOOKUP($R$6, Table10[[#All],[Software support]:[WSM]], 16, 0)</f>
        <v>0</v>
      </c>
      <c r="S21" s="106">
        <f>VLOOKUP($S$6, Table9[[#All],[Degree of using the method in area]:[WSM]], 16, 0)</f>
        <v>0</v>
      </c>
      <c r="T21" s="98"/>
      <c r="U21" s="93"/>
    </row>
    <row r="22" spans="3:21" ht="15.5" thickTop="1" thickBot="1" x14ac:dyDescent="0.4">
      <c r="C22" s="112"/>
      <c r="D22" s="113" t="s">
        <v>15</v>
      </c>
      <c r="E22" s="108"/>
      <c r="F22" s="106">
        <f>VLOOKUP($F$6, Table3[[#All],[Size of evaluation elements]:[WSM]], 17, 0)</f>
        <v>0</v>
      </c>
      <c r="G22" s="106">
        <f>VLOOKUP($G$6, Table4[[#All],[Nature of Indicators’ values/]:[WSM]], 17, 0)</f>
        <v>1</v>
      </c>
      <c r="H22" s="106">
        <f>VLOOKUP($H$6, Table5[[#All],[Number of decision-makers]:[WSM]], 17, 0)</f>
        <v>1</v>
      </c>
      <c r="I22" s="106">
        <f>VLOOKUP($I$6, Table6[[#All],[Type of solution]:[WSM]], 17, 0)</f>
        <v>0</v>
      </c>
      <c r="J22" s="106">
        <f>VLOOKUP($J$6,Table7[[#All],[Technical Support]:[WSM]], 17, 0)</f>
        <v>1</v>
      </c>
      <c r="K22" s="106">
        <f>VLOOKUP($K$6, Table8[[#All],[Type of decision-making problem]:[WSM]], 17, 0)</f>
        <v>1</v>
      </c>
      <c r="L22" s="106">
        <f>VLOOKUP($L$6, Table16[[#All],[Solution Approach]:[WSM]], 17, 0)</f>
        <v>0</v>
      </c>
      <c r="M22" s="106">
        <f>VLOOKUP($M$6, Table15[[#All],[Ease of use]:[WSM]], 17, 0)</f>
        <v>1</v>
      </c>
      <c r="N22" s="106">
        <f>VLOOKUP($N$6, Table14[[#All],[Implementation procedure]:[WSM]], 17, 0)</f>
        <v>0</v>
      </c>
      <c r="O22" s="106">
        <f>VLOOKUP($O$6, Table13[[#All],[Output Typology]:[WSM]], 17, 0)</f>
        <v>0</v>
      </c>
      <c r="P22" s="106">
        <f>VLOOKUP($P$6, Table12[[#All],[Decision Problem Solution]:[WSM]], 17, 0)</f>
        <v>1</v>
      </c>
      <c r="Q22" s="106">
        <f>VLOOKUP($Q$6, Table11[[#All],[Structure of criteria]:[WSM]], 17, 0)</f>
        <v>0</v>
      </c>
      <c r="R22" s="106">
        <f>VLOOKUP($R$6, Table10[[#All],[Software support]:[WSM]], 17, 0)</f>
        <v>0</v>
      </c>
      <c r="S22" s="106">
        <f>VLOOKUP($S$6, Table9[[#All],[Degree of using the method in area]:[WSM]], 17, 0)</f>
        <v>0</v>
      </c>
      <c r="T22" s="98"/>
      <c r="U22" s="93"/>
    </row>
    <row r="23" spans="3:21" ht="15.5" thickTop="1" thickBot="1" x14ac:dyDescent="0.4">
      <c r="C23" s="112"/>
      <c r="D23" s="113" t="s">
        <v>16</v>
      </c>
      <c r="E23" s="108"/>
      <c r="F23" s="106">
        <f>VLOOKUP($F$6, Table3[[#All],[Size of evaluation elements]:[WSM]], 18, 0)</f>
        <v>1</v>
      </c>
      <c r="G23" s="106">
        <f>VLOOKUP($G$6, Table4[[#All],[Nature of Indicators’ values/]:[WSM]], 18, 0)</f>
        <v>1</v>
      </c>
      <c r="H23" s="106">
        <f>VLOOKUP($H$6, Table5[[#All],[Number of decision-makers]:[WSM]], 18, 0)</f>
        <v>1</v>
      </c>
      <c r="I23" s="106">
        <f>VLOOKUP($I$6, Table6[[#All],[Type of solution]:[WSM]], 18, 0)</f>
        <v>1</v>
      </c>
      <c r="J23" s="106">
        <f>VLOOKUP($J$6,Table7[[#All],[Technical Support]:[WSM]], 18, 0)</f>
        <v>1</v>
      </c>
      <c r="K23" s="106">
        <f>VLOOKUP($K$6, Table8[[#All],[Type of decision-making problem]:[WSM]], 18, 0)</f>
        <v>1</v>
      </c>
      <c r="L23" s="106">
        <f>VLOOKUP($L$6, Table16[[#All],[Solution Approach]:[WSM]], 18, 0)</f>
        <v>1</v>
      </c>
      <c r="M23" s="106">
        <f>VLOOKUP($M$6, Table15[[#All],[Ease of use]:[WSM]], 18, 0)</f>
        <v>1</v>
      </c>
      <c r="N23" s="106">
        <f>VLOOKUP($N$6, Table14[[#All],[Implementation procedure]:[WSM]], 18, 0)</f>
        <v>0</v>
      </c>
      <c r="O23" s="106">
        <f>VLOOKUP($O$6, Table13[[#All],[Output Typology]:[WSM]], 18, 0)</f>
        <v>1</v>
      </c>
      <c r="P23" s="106">
        <f>VLOOKUP($P$6, Table12[[#All],[Decision Problem Solution]:[WSM]], 18, 0)</f>
        <v>0</v>
      </c>
      <c r="Q23" s="106">
        <f>VLOOKUP($Q$6, Table11[[#All],[Structure of criteria]:[WSM]], 18, 0)</f>
        <v>0</v>
      </c>
      <c r="R23" s="106">
        <f>VLOOKUP($R$6, Table10[[#All],[Software support]:[WSM]], 18, 0)</f>
        <v>0</v>
      </c>
      <c r="S23" s="106">
        <f>VLOOKUP($S$6, Table9[[#All],[Degree of using the method in area]:[WSM]], 18, 0)</f>
        <v>0</v>
      </c>
      <c r="T23" s="98"/>
      <c r="U23" s="93"/>
    </row>
    <row r="24" spans="3:21" ht="15.5" thickTop="1" thickBot="1" x14ac:dyDescent="0.4">
      <c r="C24" s="112"/>
      <c r="D24" s="113" t="s">
        <v>17</v>
      </c>
      <c r="E24" s="108"/>
      <c r="F24" s="106">
        <f>VLOOKUP($F$6, Table3[[#All],[Size of evaluation elements]:[WSM]], 19, 0)</f>
        <v>0</v>
      </c>
      <c r="G24" s="106">
        <f>VLOOKUP($G$6, Table4[[#All],[Nature of Indicators’ values/]:[WSM]], 19, 0)</f>
        <v>0</v>
      </c>
      <c r="H24" s="106">
        <f>VLOOKUP($H$6, Table5[[#All],[Number of decision-makers]:[WSM]], 19, 0)</f>
        <v>1</v>
      </c>
      <c r="I24" s="106">
        <f>VLOOKUP($I$6, Table6[[#All],[Type of solution]:[WSM]], 19, 0)</f>
        <v>0</v>
      </c>
      <c r="J24" s="106">
        <f>VLOOKUP($J$6,Table7[[#All],[Technical Support]:[WSM]], 19, 0)</f>
        <v>0</v>
      </c>
      <c r="K24" s="106">
        <f>VLOOKUP($K$6, Table8[[#All],[Type of decision-making problem]:[WSM]], 19, 0)</f>
        <v>1</v>
      </c>
      <c r="L24" s="106">
        <f>VLOOKUP($L$6, Table16[[#All],[Solution Approach]:[WSM]], 19, 0)</f>
        <v>0</v>
      </c>
      <c r="M24" s="106">
        <f>VLOOKUP($M$6, Table15[[#All],[Ease of use]:[WSM]], 19, 0)</f>
        <v>0</v>
      </c>
      <c r="N24" s="106">
        <f>VLOOKUP($N$6, Table14[[#All],[Implementation procedure]:[WSM]], 19, 0)</f>
        <v>0</v>
      </c>
      <c r="O24" s="106">
        <f>VLOOKUP($O$6, Table13[[#All],[Output Typology]:[WSM]], 19, 0)</f>
        <v>0</v>
      </c>
      <c r="P24" s="106">
        <f>VLOOKUP($P$6, Table12[[#All],[Decision Problem Solution]:[WSM]], 19, 0)</f>
        <v>0</v>
      </c>
      <c r="Q24" s="106">
        <f>VLOOKUP($Q$6, Table11[[#All],[Structure of criteria]:[WSM]], 19, 0)</f>
        <v>0</v>
      </c>
      <c r="R24" s="106">
        <f>VLOOKUP($R$6, Table10[[#All],[Software support]:[WSM]], 19, 0)</f>
        <v>0</v>
      </c>
      <c r="S24" s="106">
        <f>VLOOKUP($S$6, Table9[[#All],[Degree of using the method in area]:[WSM]], 19, 0)</f>
        <v>0</v>
      </c>
      <c r="T24" s="98"/>
      <c r="U24" s="93"/>
    </row>
    <row r="25" spans="3:21" ht="15.5" thickTop="1" thickBot="1" x14ac:dyDescent="0.4">
      <c r="C25" s="112"/>
      <c r="D25" s="113" t="s">
        <v>18</v>
      </c>
      <c r="E25" s="108"/>
      <c r="F25" s="106">
        <f>VLOOKUP($F$6, Table3[[#All],[Size of evaluation elements]:[WSM]], 20, 0)</f>
        <v>0</v>
      </c>
      <c r="G25" s="106">
        <f>VLOOKUP($G$6, Table4[[#All],[Nature of Indicators’ values/]:[WSM]], 20, 0)</f>
        <v>1</v>
      </c>
      <c r="H25" s="106">
        <f>VLOOKUP($H$6, Table5[[#All],[Number of decision-makers]:[WSM]], 20, 0)</f>
        <v>0</v>
      </c>
      <c r="I25" s="106">
        <f>VLOOKUP($I$6, Table6[[#All],[Type of solution]:[WSM]], 20, 0)</f>
        <v>0</v>
      </c>
      <c r="J25" s="106">
        <f>VLOOKUP($J$6,Table7[[#All],[Technical Support]:[WSM]], 20, 0)</f>
        <v>1</v>
      </c>
      <c r="K25" s="106">
        <f>VLOOKUP($K$6, Table8[[#All],[Type of decision-making problem]:[WSM]], 20, 0)</f>
        <v>1</v>
      </c>
      <c r="L25" s="106">
        <f>VLOOKUP($L$6, Table16[[#All],[Solution Approach]:[WSM]], 20, 0)</f>
        <v>0</v>
      </c>
      <c r="M25" s="106">
        <f>VLOOKUP($M$6, Table15[[#All],[Ease of use]:[WSM]], 20, 0)</f>
        <v>1</v>
      </c>
      <c r="N25" s="106">
        <f>VLOOKUP($N$6, Table14[[#All],[Implementation procedure]:[WSM]], 20, 0)</f>
        <v>0</v>
      </c>
      <c r="O25" s="106">
        <f>VLOOKUP($O$6, Table13[[#All],[Output Typology]:[WSM]], 20, 0)</f>
        <v>0</v>
      </c>
      <c r="P25" s="106">
        <f>VLOOKUP($P$6, Table12[[#All],[Decision Problem Solution]:[WSM]], 20, 0)</f>
        <v>0</v>
      </c>
      <c r="Q25" s="106">
        <f>VLOOKUP($Q$6, Table11[[#All],[Structure of criteria]:[WSM]], 20, 0)</f>
        <v>0</v>
      </c>
      <c r="R25" s="106">
        <f>VLOOKUP($R$6, Table10[[#All],[Software support]:[WSM]], 20, 0)</f>
        <v>1</v>
      </c>
      <c r="S25" s="106">
        <f>VLOOKUP($S$6, Table9[[#All],[Degree of using the method in area]:[WSM]], 20, 0)</f>
        <v>0</v>
      </c>
      <c r="T25" s="98"/>
      <c r="U25" s="93"/>
    </row>
    <row r="26" spans="3:21" ht="15.5" thickTop="1" thickBot="1" x14ac:dyDescent="0.4">
      <c r="C26" s="128"/>
      <c r="D26" s="127" t="s">
        <v>19</v>
      </c>
      <c r="E26" s="108"/>
      <c r="F26" s="106">
        <f>VLOOKUP($F$6, Table3[[#All],[Size of evaluation elements]:[WSM]], 20, 0)</f>
        <v>0</v>
      </c>
      <c r="G26" s="106">
        <f>VLOOKUP($G$6, Table4[[#All],[Nature of Indicators’ values/]:[WSM]], 21, 0)</f>
        <v>1</v>
      </c>
      <c r="H26" s="106">
        <f>VLOOKUP($H$6, Table5[[#All],[Number of decision-makers]:[WSM]], 21, 0)</f>
        <v>0</v>
      </c>
      <c r="I26" s="106">
        <f>VLOOKUP($I$6, Table6[[#All],[Type of solution]:[WSM]], 21, 0)</f>
        <v>0</v>
      </c>
      <c r="J26" s="106">
        <f>VLOOKUP($J$6,Table7[[#All],[Technical Support]:[WSM]], 21, 0)</f>
        <v>1</v>
      </c>
      <c r="K26" s="106">
        <f>VLOOKUP($K$6, Table8[[#All],[Type of decision-making problem]:[WSM]], 21, 0)</f>
        <v>1</v>
      </c>
      <c r="L26" s="106">
        <f>VLOOKUP($L$6, Table16[[#All],[Solution Approach]:[WSM]], 21, 0)</f>
        <v>0</v>
      </c>
      <c r="M26" s="106">
        <f>VLOOKUP($M$6, Table15[[#All],[Ease of use]:[WSM]], 21, 0)</f>
        <v>1</v>
      </c>
      <c r="N26" s="106">
        <f>VLOOKUP($N$6, Table14[[#All],[Implementation procedure]:[WSM]], 21, 0)</f>
        <v>0</v>
      </c>
      <c r="O26" s="106">
        <f>VLOOKUP($O$6, Table13[[#All],[Output Typology]:[WSM]], 21, 0)</f>
        <v>0</v>
      </c>
      <c r="P26" s="106">
        <f>VLOOKUP($P$6, Table12[[#All],[Decision Problem Solution]:[WSM]], 21, 0)</f>
        <v>1</v>
      </c>
      <c r="Q26" s="106">
        <f>VLOOKUP($Q$6, Table11[[#All],[Structure of criteria]:[WSM]], 21, 0)</f>
        <v>0</v>
      </c>
      <c r="R26" s="106">
        <f>VLOOKUP($R$6, Table10[[#All],[Software support]:[WSM]], 21, 0)</f>
        <v>0</v>
      </c>
      <c r="S26" s="106">
        <f>VLOOKUP($S$6, Table9[[#All],[Degree of using the method in area]:[WSM]], 21, 0)</f>
        <v>0</v>
      </c>
      <c r="T26" s="98"/>
      <c r="U26" s="93"/>
    </row>
    <row r="27" spans="3:21" ht="14" thickTop="1" thickBot="1" x14ac:dyDescent="0.4">
      <c r="C27" s="125"/>
      <c r="D27" s="126"/>
      <c r="E27" s="100"/>
      <c r="F27" s="100"/>
      <c r="G27" s="100"/>
      <c r="H27" s="100"/>
      <c r="I27" s="100"/>
      <c r="J27" s="100"/>
      <c r="K27" s="100"/>
      <c r="L27" s="100"/>
      <c r="M27" s="100"/>
      <c r="N27" s="100"/>
      <c r="O27" s="100"/>
      <c r="P27" s="100"/>
      <c r="Q27" s="100"/>
      <c r="R27" s="100"/>
      <c r="S27" s="100"/>
      <c r="T27" s="101"/>
      <c r="U27" s="93"/>
    </row>
    <row r="28" spans="3:21" ht="29" customHeight="1" thickBot="1" x14ac:dyDescent="0.4">
      <c r="C28" s="130"/>
      <c r="D28" s="129" t="s">
        <v>221</v>
      </c>
      <c r="E28" s="131"/>
      <c r="F28" s="186">
        <v>1</v>
      </c>
      <c r="G28" s="186">
        <v>1</v>
      </c>
      <c r="H28" s="186">
        <v>1</v>
      </c>
      <c r="I28" s="186">
        <v>1</v>
      </c>
      <c r="J28" s="186">
        <v>1</v>
      </c>
      <c r="K28" s="186">
        <v>1</v>
      </c>
      <c r="L28" s="186">
        <v>1</v>
      </c>
      <c r="M28" s="186">
        <v>1</v>
      </c>
      <c r="N28" s="186">
        <v>1</v>
      </c>
      <c r="O28" s="186">
        <v>1</v>
      </c>
      <c r="P28" s="186">
        <v>1</v>
      </c>
      <c r="Q28" s="186">
        <v>1</v>
      </c>
      <c r="R28" s="186">
        <v>1</v>
      </c>
      <c r="S28" s="186">
        <v>1</v>
      </c>
      <c r="T28" s="187"/>
      <c r="U28" s="93"/>
    </row>
    <row r="29" spans="3:21" ht="13.5" thickBot="1" x14ac:dyDescent="0.4">
      <c r="C29" s="93"/>
      <c r="D29" s="93"/>
      <c r="E29" s="93"/>
      <c r="F29" s="93"/>
      <c r="G29" s="93"/>
      <c r="H29" s="93"/>
      <c r="I29" s="93"/>
      <c r="J29" s="93"/>
      <c r="K29" s="102"/>
      <c r="L29" s="93"/>
      <c r="M29" s="93"/>
      <c r="N29" s="93"/>
      <c r="O29" s="93"/>
      <c r="P29" s="93"/>
      <c r="Q29" s="93"/>
      <c r="R29" s="93"/>
      <c r="S29" s="93"/>
      <c r="T29" s="93"/>
      <c r="U29" s="93"/>
    </row>
    <row r="30" spans="3:21" x14ac:dyDescent="0.35">
      <c r="C30" s="114"/>
      <c r="D30" s="115"/>
      <c r="E30" s="115"/>
      <c r="F30" s="115"/>
      <c r="G30" s="115"/>
      <c r="H30" s="115"/>
      <c r="I30" s="115"/>
      <c r="J30" s="115"/>
      <c r="K30" s="164"/>
      <c r="L30" s="115"/>
      <c r="M30" s="115"/>
      <c r="N30" s="115"/>
      <c r="O30" s="115"/>
      <c r="P30" s="115"/>
      <c r="Q30" s="115"/>
      <c r="R30" s="115"/>
      <c r="S30" s="115"/>
      <c r="T30" s="96"/>
      <c r="U30" s="93"/>
    </row>
    <row r="31" spans="3:21" ht="24" customHeight="1" x14ac:dyDescent="0.7">
      <c r="C31" s="112"/>
      <c r="D31" s="188"/>
      <c r="E31" s="188"/>
      <c r="F31" s="188"/>
      <c r="G31" s="189" t="s">
        <v>351</v>
      </c>
      <c r="H31" s="188"/>
      <c r="I31" s="188"/>
      <c r="J31" s="188"/>
      <c r="K31" s="190"/>
      <c r="L31" s="102"/>
      <c r="M31" s="102"/>
      <c r="N31" s="102"/>
      <c r="O31" s="102"/>
      <c r="P31" s="102"/>
      <c r="Q31" s="102"/>
      <c r="R31" s="102"/>
      <c r="S31" s="102"/>
      <c r="T31" s="98"/>
      <c r="U31" s="93"/>
    </row>
    <row r="32" spans="3:21" ht="9" customHeight="1" x14ac:dyDescent="0.35">
      <c r="C32" s="112"/>
      <c r="D32" s="102"/>
      <c r="E32" s="102"/>
      <c r="F32" s="102"/>
      <c r="G32" s="102"/>
      <c r="H32" s="102"/>
      <c r="I32" s="102"/>
      <c r="J32" s="102"/>
      <c r="K32" s="165"/>
      <c r="L32" s="173"/>
      <c r="M32" s="173"/>
      <c r="N32" s="173"/>
      <c r="O32" s="173"/>
      <c r="P32" s="173"/>
      <c r="Q32" s="173"/>
      <c r="R32" s="173"/>
      <c r="S32" s="173"/>
      <c r="T32" s="98"/>
      <c r="U32" s="93"/>
    </row>
    <row r="33" spans="3:21" ht="13" hidden="1" customHeight="1" x14ac:dyDescent="0.4">
      <c r="C33" s="112"/>
      <c r="D33" s="103"/>
      <c r="E33" s="103"/>
      <c r="F33" s="104"/>
      <c r="G33" s="102"/>
      <c r="H33" s="102"/>
      <c r="I33" s="102"/>
      <c r="J33" s="102"/>
      <c r="K33" s="165"/>
      <c r="L33" s="173"/>
      <c r="M33" s="173"/>
      <c r="N33" s="173"/>
      <c r="O33" s="173"/>
      <c r="P33" s="173"/>
      <c r="Q33" s="173"/>
      <c r="R33" s="173"/>
      <c r="S33" s="173"/>
      <c r="T33" s="98"/>
      <c r="U33" s="93"/>
    </row>
    <row r="34" spans="3:21" ht="28.5" customHeight="1" x14ac:dyDescent="0.45">
      <c r="C34" s="137"/>
      <c r="D34" s="138" t="s">
        <v>113</v>
      </c>
      <c r="E34" s="140"/>
      <c r="F34" s="139" t="s">
        <v>216</v>
      </c>
      <c r="G34" s="105"/>
      <c r="H34" s="102"/>
      <c r="I34" s="102"/>
      <c r="J34" s="102"/>
      <c r="K34" s="166"/>
      <c r="L34" s="174" t="s">
        <v>349</v>
      </c>
      <c r="M34" s="175"/>
      <c r="N34" s="175"/>
      <c r="O34" s="175"/>
      <c r="P34" s="175"/>
      <c r="Q34" s="175"/>
      <c r="R34" s="175"/>
      <c r="S34" s="176"/>
      <c r="T34" s="98"/>
      <c r="U34" s="93"/>
    </row>
    <row r="35" spans="3:21" ht="23.5" customHeight="1" x14ac:dyDescent="0.45">
      <c r="C35" s="137"/>
      <c r="D35" s="171" t="s">
        <v>0</v>
      </c>
      <c r="E35" s="102"/>
      <c r="F35" s="169">
        <f t="shared" ref="F35:F54" si="0">(($F$28*F7)+($G$28*G7)+($H$28*H7)+($I$28*I7)+($J$28*J7)+($K$28*K7)+($L$28*L7)+($M$28*M7)+($N$28*N7)+($O$28*O7)+($P$28*P7)+($Q$28*Q7)+($R$28*R7)+($S$28*S7))/14</f>
        <v>0.5714285714285714</v>
      </c>
      <c r="G35" s="132"/>
      <c r="H35" s="132"/>
      <c r="I35" s="132"/>
      <c r="J35" s="102"/>
      <c r="K35" s="166"/>
      <c r="L35" s="177" t="s">
        <v>224</v>
      </c>
      <c r="M35" s="177"/>
      <c r="N35" s="178"/>
      <c r="O35" s="177"/>
      <c r="P35" s="177"/>
      <c r="Q35" s="177"/>
      <c r="R35" s="177"/>
      <c r="S35" s="176"/>
      <c r="T35" s="98"/>
      <c r="U35" s="93"/>
    </row>
    <row r="36" spans="3:21" ht="23.5" customHeight="1" x14ac:dyDescent="0.45">
      <c r="C36" s="137"/>
      <c r="D36" s="171" t="s">
        <v>1</v>
      </c>
      <c r="E36" s="102"/>
      <c r="F36" s="169">
        <f t="shared" si="0"/>
        <v>0.42857142857142855</v>
      </c>
      <c r="G36" s="102"/>
      <c r="H36" s="102"/>
      <c r="I36" s="102"/>
      <c r="J36" s="102"/>
      <c r="K36" s="166"/>
      <c r="L36" s="177"/>
      <c r="M36" s="177"/>
      <c r="N36" s="177"/>
      <c r="O36" s="177"/>
      <c r="P36" s="177"/>
      <c r="Q36" s="177"/>
      <c r="R36" s="177"/>
      <c r="S36" s="176"/>
      <c r="T36" s="98"/>
      <c r="U36" s="93"/>
    </row>
    <row r="37" spans="3:21" ht="23.5" customHeight="1" x14ac:dyDescent="0.45">
      <c r="C37" s="137"/>
      <c r="D37" s="171" t="s">
        <v>2</v>
      </c>
      <c r="E37" s="102"/>
      <c r="F37" s="169">
        <f t="shared" si="0"/>
        <v>0.5714285714285714</v>
      </c>
      <c r="G37" s="102"/>
      <c r="H37" s="102"/>
      <c r="I37" s="102"/>
      <c r="J37" s="102"/>
      <c r="K37" s="166"/>
      <c r="L37" s="179">
        <v>1</v>
      </c>
      <c r="M37" s="177" t="s">
        <v>311</v>
      </c>
      <c r="N37" s="177"/>
      <c r="O37" s="177"/>
      <c r="P37" s="177"/>
      <c r="Q37" s="177"/>
      <c r="R37" s="177"/>
      <c r="S37" s="176"/>
      <c r="T37" s="98"/>
      <c r="U37" s="93"/>
    </row>
    <row r="38" spans="3:21" ht="23.5" customHeight="1" x14ac:dyDescent="0.45">
      <c r="C38" s="137"/>
      <c r="D38" s="171" t="s">
        <v>3</v>
      </c>
      <c r="E38" s="102"/>
      <c r="F38" s="169">
        <f t="shared" si="0"/>
        <v>0.8571428571428571</v>
      </c>
      <c r="G38" s="102"/>
      <c r="H38" s="102"/>
      <c r="I38" s="102"/>
      <c r="J38" s="102"/>
      <c r="K38" s="166"/>
      <c r="L38" s="179"/>
      <c r="M38" s="177"/>
      <c r="N38" s="177"/>
      <c r="O38" s="177"/>
      <c r="P38" s="177"/>
      <c r="Q38" s="177"/>
      <c r="R38" s="177"/>
      <c r="S38" s="176"/>
      <c r="T38" s="98"/>
      <c r="U38" s="93"/>
    </row>
    <row r="39" spans="3:21" ht="23.5" customHeight="1" x14ac:dyDescent="0.45">
      <c r="C39" s="137"/>
      <c r="D39" s="171" t="s">
        <v>4</v>
      </c>
      <c r="E39" s="102"/>
      <c r="F39" s="169">
        <f t="shared" si="0"/>
        <v>0.5</v>
      </c>
      <c r="G39" s="102"/>
      <c r="H39" s="102"/>
      <c r="I39" s="102"/>
      <c r="J39" s="102"/>
      <c r="K39" s="166"/>
      <c r="L39" s="179">
        <v>2</v>
      </c>
      <c r="M39" s="177" t="s">
        <v>307</v>
      </c>
      <c r="N39" s="177"/>
      <c r="O39" s="177"/>
      <c r="P39" s="177"/>
      <c r="Q39" s="177"/>
      <c r="R39" s="177"/>
      <c r="S39" s="176"/>
      <c r="T39" s="98"/>
      <c r="U39" s="93"/>
    </row>
    <row r="40" spans="3:21" ht="23.5" customHeight="1" x14ac:dyDescent="0.45">
      <c r="C40" s="137"/>
      <c r="D40" s="171" t="s">
        <v>5</v>
      </c>
      <c r="E40" s="102"/>
      <c r="F40" s="169">
        <f t="shared" si="0"/>
        <v>0.5714285714285714</v>
      </c>
      <c r="G40" s="102"/>
      <c r="H40" s="102"/>
      <c r="I40" s="102"/>
      <c r="J40" s="102"/>
      <c r="K40" s="166"/>
      <c r="L40" s="179"/>
      <c r="M40" s="177"/>
      <c r="N40" s="177"/>
      <c r="O40" s="177"/>
      <c r="P40" s="177"/>
      <c r="Q40" s="177"/>
      <c r="R40" s="177"/>
      <c r="S40" s="176"/>
      <c r="T40" s="98"/>
      <c r="U40" s="93"/>
    </row>
    <row r="41" spans="3:21" ht="23.5" customHeight="1" x14ac:dyDescent="0.45">
      <c r="C41" s="137"/>
      <c r="D41" s="171" t="s">
        <v>6</v>
      </c>
      <c r="E41" s="102"/>
      <c r="F41" s="169">
        <f t="shared" si="0"/>
        <v>0.5</v>
      </c>
      <c r="G41" s="102"/>
      <c r="H41" s="102"/>
      <c r="I41" s="102"/>
      <c r="J41" s="102"/>
      <c r="K41" s="166"/>
      <c r="L41" s="179">
        <v>3</v>
      </c>
      <c r="M41" s="177" t="s">
        <v>312</v>
      </c>
      <c r="N41" s="177"/>
      <c r="O41" s="177"/>
      <c r="P41" s="177"/>
      <c r="Q41" s="177"/>
      <c r="R41" s="177"/>
      <c r="S41" s="176"/>
      <c r="T41" s="98"/>
      <c r="U41" s="93"/>
    </row>
    <row r="42" spans="3:21" ht="23.5" customHeight="1" x14ac:dyDescent="0.45">
      <c r="C42" s="137"/>
      <c r="D42" s="171" t="s">
        <v>7</v>
      </c>
      <c r="E42" s="102"/>
      <c r="F42" s="169">
        <f t="shared" si="0"/>
        <v>0.5</v>
      </c>
      <c r="G42" s="102"/>
      <c r="H42" s="102"/>
      <c r="I42" s="102"/>
      <c r="J42" s="102"/>
      <c r="K42" s="166"/>
      <c r="L42" s="179"/>
      <c r="M42" s="176">
        <v>3.1</v>
      </c>
      <c r="N42" s="180" t="s">
        <v>314</v>
      </c>
      <c r="O42" s="177"/>
      <c r="P42" s="177"/>
      <c r="Q42" s="177"/>
      <c r="R42" s="177"/>
      <c r="S42" s="176"/>
      <c r="T42" s="98"/>
      <c r="U42" s="93"/>
    </row>
    <row r="43" spans="3:21" ht="23.5" customHeight="1" x14ac:dyDescent="0.45">
      <c r="C43" s="137"/>
      <c r="D43" s="171" t="s">
        <v>8</v>
      </c>
      <c r="E43" s="102"/>
      <c r="F43" s="169">
        <f t="shared" si="0"/>
        <v>0.5</v>
      </c>
      <c r="G43" s="102"/>
      <c r="H43" s="102"/>
      <c r="I43" s="102"/>
      <c r="J43" s="102"/>
      <c r="K43" s="166"/>
      <c r="L43" s="179"/>
      <c r="M43" s="179">
        <v>3.2</v>
      </c>
      <c r="N43" s="177" t="s">
        <v>313</v>
      </c>
      <c r="O43" s="177"/>
      <c r="P43" s="177"/>
      <c r="Q43" s="177"/>
      <c r="R43" s="177"/>
      <c r="S43" s="176"/>
      <c r="T43" s="98"/>
      <c r="U43" s="93"/>
    </row>
    <row r="44" spans="3:21" ht="23.5" customHeight="1" x14ac:dyDescent="0.45">
      <c r="C44" s="137"/>
      <c r="D44" s="171" t="s">
        <v>9</v>
      </c>
      <c r="E44" s="102"/>
      <c r="F44" s="169">
        <f t="shared" si="0"/>
        <v>0.42857142857142855</v>
      </c>
      <c r="G44" s="102"/>
      <c r="H44" s="102"/>
      <c r="I44" s="102"/>
      <c r="J44" s="102"/>
      <c r="K44" s="166"/>
      <c r="L44" s="179"/>
      <c r="M44" s="179">
        <v>3.3</v>
      </c>
      <c r="N44" s="177" t="s">
        <v>350</v>
      </c>
      <c r="O44" s="177"/>
      <c r="P44" s="177"/>
      <c r="Q44" s="177"/>
      <c r="R44" s="177"/>
      <c r="S44" s="176"/>
      <c r="T44" s="98"/>
      <c r="U44" s="93"/>
    </row>
    <row r="45" spans="3:21" ht="23.5" customHeight="1" x14ac:dyDescent="0.45">
      <c r="C45" s="137"/>
      <c r="D45" s="171" t="s">
        <v>10</v>
      </c>
      <c r="E45" s="102"/>
      <c r="F45" s="169">
        <f t="shared" si="0"/>
        <v>0.42857142857142855</v>
      </c>
      <c r="G45" s="102"/>
      <c r="H45" s="102"/>
      <c r="I45" s="102"/>
      <c r="J45" s="102"/>
      <c r="K45" s="166"/>
      <c r="L45" s="179">
        <v>4</v>
      </c>
      <c r="M45" s="177" t="s">
        <v>308</v>
      </c>
      <c r="N45" s="177"/>
      <c r="O45" s="177"/>
      <c r="P45" s="177"/>
      <c r="Q45" s="177"/>
      <c r="R45" s="177"/>
      <c r="S45" s="176"/>
      <c r="T45" s="98"/>
      <c r="U45" s="93"/>
    </row>
    <row r="46" spans="3:21" ht="23.5" customHeight="1" x14ac:dyDescent="0.45">
      <c r="C46" s="137"/>
      <c r="D46" s="171" t="s">
        <v>11</v>
      </c>
      <c r="E46" s="102"/>
      <c r="F46" s="169">
        <f t="shared" si="0"/>
        <v>0.5</v>
      </c>
      <c r="G46" s="102"/>
      <c r="H46" s="102"/>
      <c r="I46" s="102"/>
      <c r="J46" s="102"/>
      <c r="K46" s="166"/>
      <c r="L46" s="181"/>
      <c r="M46" s="182"/>
      <c r="N46" s="182"/>
      <c r="O46" s="182"/>
      <c r="P46" s="182"/>
      <c r="Q46" s="182"/>
      <c r="R46" s="182"/>
      <c r="S46" s="183"/>
      <c r="T46" s="98"/>
      <c r="U46" s="93"/>
    </row>
    <row r="47" spans="3:21" ht="23.5" customHeight="1" x14ac:dyDescent="0.45">
      <c r="C47" s="137"/>
      <c r="D47" s="171" t="s">
        <v>12</v>
      </c>
      <c r="E47" s="102"/>
      <c r="F47" s="169">
        <f t="shared" si="0"/>
        <v>0.35714285714285715</v>
      </c>
      <c r="G47" s="102"/>
      <c r="H47" s="102"/>
      <c r="I47" s="102"/>
      <c r="J47" s="102"/>
      <c r="K47" s="166"/>
      <c r="L47" s="173"/>
      <c r="M47" s="173"/>
      <c r="N47" s="173"/>
      <c r="O47" s="173"/>
      <c r="P47" s="173"/>
      <c r="Q47" s="173"/>
      <c r="R47" s="173"/>
      <c r="S47" s="173"/>
      <c r="T47" s="98"/>
      <c r="U47" s="93"/>
    </row>
    <row r="48" spans="3:21" ht="23.5" customHeight="1" x14ac:dyDescent="0.45">
      <c r="C48" s="137"/>
      <c r="D48" s="171" t="s">
        <v>13</v>
      </c>
      <c r="E48" s="102"/>
      <c r="F48" s="169">
        <f t="shared" si="0"/>
        <v>0.42857142857142855</v>
      </c>
      <c r="G48" s="102"/>
      <c r="H48" s="102"/>
      <c r="I48" s="102"/>
      <c r="J48" s="102"/>
      <c r="K48" s="167"/>
      <c r="L48" s="173"/>
      <c r="M48" s="173"/>
      <c r="N48" s="173"/>
      <c r="O48" s="173"/>
      <c r="P48" s="173"/>
      <c r="Q48" s="173"/>
      <c r="R48" s="184"/>
      <c r="S48" s="173"/>
      <c r="T48" s="98"/>
      <c r="U48" s="93"/>
    </row>
    <row r="49" spans="3:21" ht="23.5" customHeight="1" x14ac:dyDescent="0.45">
      <c r="C49" s="137"/>
      <c r="D49" s="171" t="s">
        <v>14</v>
      </c>
      <c r="E49" s="102"/>
      <c r="F49" s="169">
        <f t="shared" si="0"/>
        <v>0.21428571428571427</v>
      </c>
      <c r="G49" s="102"/>
      <c r="H49" s="102"/>
      <c r="I49" s="102"/>
      <c r="J49" s="102"/>
      <c r="K49" s="167"/>
      <c r="L49" s="173"/>
      <c r="M49" s="173"/>
      <c r="N49" s="173"/>
      <c r="O49" s="173"/>
      <c r="P49" s="173"/>
      <c r="Q49" s="173"/>
      <c r="R49" s="184"/>
      <c r="S49" s="173"/>
      <c r="T49" s="98"/>
      <c r="U49" s="93"/>
    </row>
    <row r="50" spans="3:21" ht="23.5" customHeight="1" x14ac:dyDescent="0.45">
      <c r="C50" s="137"/>
      <c r="D50" s="171" t="s">
        <v>15</v>
      </c>
      <c r="E50" s="102"/>
      <c r="F50" s="169">
        <f t="shared" si="0"/>
        <v>0.42857142857142855</v>
      </c>
      <c r="G50" s="102"/>
      <c r="H50" s="102"/>
      <c r="I50" s="102"/>
      <c r="J50" s="102"/>
      <c r="K50" s="167"/>
      <c r="L50" s="173"/>
      <c r="M50" s="173"/>
      <c r="N50" s="173"/>
      <c r="O50" s="173"/>
      <c r="P50" s="173"/>
      <c r="Q50" s="173"/>
      <c r="R50" s="184"/>
      <c r="S50" s="173"/>
      <c r="T50" s="98"/>
      <c r="U50" s="93"/>
    </row>
    <row r="51" spans="3:21" ht="23.5" customHeight="1" x14ac:dyDescent="0.45">
      <c r="C51" s="137"/>
      <c r="D51" s="171" t="s">
        <v>16</v>
      </c>
      <c r="E51" s="102"/>
      <c r="F51" s="169">
        <f t="shared" si="0"/>
        <v>0.6428571428571429</v>
      </c>
      <c r="G51" s="102"/>
      <c r="H51" s="102"/>
      <c r="I51" s="102"/>
      <c r="J51" s="102"/>
      <c r="K51" s="167"/>
      <c r="L51" s="173"/>
      <c r="M51" s="173"/>
      <c r="N51" s="173"/>
      <c r="O51" s="173"/>
      <c r="P51" s="173"/>
      <c r="Q51" s="173"/>
      <c r="R51" s="184"/>
      <c r="S51" s="173"/>
      <c r="T51" s="98"/>
      <c r="U51" s="93"/>
    </row>
    <row r="52" spans="3:21" ht="23.5" customHeight="1" x14ac:dyDescent="0.45">
      <c r="C52" s="137"/>
      <c r="D52" s="171" t="s">
        <v>17</v>
      </c>
      <c r="E52" s="102"/>
      <c r="F52" s="169">
        <f t="shared" si="0"/>
        <v>0.14285714285714285</v>
      </c>
      <c r="G52" s="102"/>
      <c r="H52" s="102"/>
      <c r="I52" s="102"/>
      <c r="J52" s="102"/>
      <c r="K52" s="166"/>
      <c r="L52" s="173"/>
      <c r="M52" s="173"/>
      <c r="N52" s="173"/>
      <c r="O52" s="173"/>
      <c r="P52" s="173"/>
      <c r="Q52" s="173"/>
      <c r="R52" s="184"/>
      <c r="S52" s="173"/>
      <c r="T52" s="98"/>
      <c r="U52" s="93"/>
    </row>
    <row r="53" spans="3:21" ht="23.5" customHeight="1" x14ac:dyDescent="0.45">
      <c r="C53" s="137"/>
      <c r="D53" s="171" t="s">
        <v>18</v>
      </c>
      <c r="E53" s="102"/>
      <c r="F53" s="169">
        <f t="shared" si="0"/>
        <v>0.35714285714285715</v>
      </c>
      <c r="G53" s="102"/>
      <c r="H53" s="102"/>
      <c r="I53" s="102"/>
      <c r="J53" s="102"/>
      <c r="K53" s="166"/>
      <c r="L53" s="173"/>
      <c r="M53" s="173"/>
      <c r="N53" s="173"/>
      <c r="O53" s="173"/>
      <c r="P53" s="173"/>
      <c r="Q53" s="173"/>
      <c r="R53" s="184"/>
      <c r="S53" s="173"/>
      <c r="T53" s="98"/>
      <c r="U53" s="93"/>
    </row>
    <row r="54" spans="3:21" ht="23.5" customHeight="1" x14ac:dyDescent="0.45">
      <c r="C54" s="137"/>
      <c r="D54" s="172" t="s">
        <v>19</v>
      </c>
      <c r="E54" s="102"/>
      <c r="F54" s="170">
        <f t="shared" si="0"/>
        <v>0.35714285714285715</v>
      </c>
      <c r="G54" s="102"/>
      <c r="H54" s="102"/>
      <c r="I54" s="102"/>
      <c r="J54" s="102"/>
      <c r="K54" s="166"/>
      <c r="L54" s="173"/>
      <c r="M54" s="173"/>
      <c r="N54" s="173"/>
      <c r="O54" s="173"/>
      <c r="P54" s="173"/>
      <c r="Q54" s="173"/>
      <c r="R54" s="184"/>
      <c r="S54" s="173"/>
      <c r="T54" s="98"/>
      <c r="U54" s="93"/>
    </row>
    <row r="55" spans="3:21" ht="19" customHeight="1" x14ac:dyDescent="0.35">
      <c r="C55" s="112"/>
      <c r="D55" s="141"/>
      <c r="E55" s="142"/>
      <c r="F55" s="143"/>
      <c r="G55" s="132"/>
      <c r="H55" s="132"/>
      <c r="I55" s="132"/>
      <c r="J55" s="102"/>
      <c r="K55" s="166"/>
      <c r="L55" s="173"/>
      <c r="M55" s="173"/>
      <c r="N55" s="173"/>
      <c r="O55" s="173"/>
      <c r="P55" s="173"/>
      <c r="Q55" s="173"/>
      <c r="R55" s="173"/>
      <c r="S55" s="173"/>
      <c r="T55" s="98"/>
      <c r="U55" s="102"/>
    </row>
    <row r="56" spans="3:21" ht="13.5" thickBot="1" x14ac:dyDescent="0.4">
      <c r="C56" s="99"/>
      <c r="D56" s="100"/>
      <c r="E56" s="100"/>
      <c r="F56" s="100"/>
      <c r="G56" s="100"/>
      <c r="H56" s="100"/>
      <c r="I56" s="100"/>
      <c r="J56" s="116"/>
      <c r="K56" s="168"/>
      <c r="L56" s="100"/>
      <c r="M56" s="100"/>
      <c r="N56" s="100"/>
      <c r="O56" s="100"/>
      <c r="P56" s="100"/>
      <c r="Q56" s="100"/>
      <c r="R56" s="100"/>
      <c r="S56" s="100"/>
      <c r="T56" s="101"/>
      <c r="U56" s="102"/>
    </row>
    <row r="57" spans="3:21" x14ac:dyDescent="0.35">
      <c r="C57" s="93"/>
      <c r="D57" s="93"/>
      <c r="E57" s="93"/>
      <c r="F57" s="93"/>
      <c r="G57" s="93"/>
      <c r="H57" s="93"/>
      <c r="I57" s="93"/>
      <c r="J57" s="93"/>
      <c r="K57" s="93"/>
      <c r="L57" s="93"/>
      <c r="M57" s="93"/>
      <c r="N57" s="93"/>
      <c r="O57" s="93"/>
      <c r="P57" s="93"/>
      <c r="Q57" s="93"/>
      <c r="R57" s="93"/>
      <c r="S57" s="93"/>
      <c r="T57" s="93"/>
      <c r="U57" s="93"/>
    </row>
    <row r="58" spans="3:21" ht="15.5" x14ac:dyDescent="0.35">
      <c r="C58" s="93"/>
      <c r="D58" s="93"/>
      <c r="E58" s="93"/>
      <c r="F58" s="124"/>
      <c r="G58" s="121"/>
      <c r="H58" s="121"/>
      <c r="I58" s="123"/>
      <c r="J58" s="123"/>
      <c r="K58" s="93"/>
      <c r="L58" s="93"/>
      <c r="M58" s="93"/>
      <c r="N58" s="93"/>
      <c r="O58" s="93"/>
      <c r="P58" s="93"/>
      <c r="Q58" s="93"/>
      <c r="R58" s="93"/>
      <c r="S58" s="93"/>
      <c r="T58" s="93"/>
      <c r="U58" s="93"/>
    </row>
    <row r="59" spans="3:21" x14ac:dyDescent="0.35">
      <c r="C59" s="93"/>
      <c r="D59" s="93"/>
      <c r="E59" s="93"/>
      <c r="F59" s="93"/>
      <c r="G59" s="93"/>
      <c r="H59" s="93"/>
      <c r="I59" s="93"/>
      <c r="J59" s="93"/>
      <c r="K59" s="93"/>
      <c r="L59" s="93"/>
      <c r="M59" s="93"/>
      <c r="N59" s="93"/>
      <c r="O59" s="93"/>
      <c r="P59" s="93"/>
      <c r="Q59" s="93"/>
      <c r="R59" s="93"/>
      <c r="S59" s="93"/>
      <c r="T59" s="93"/>
      <c r="U59" s="93"/>
    </row>
    <row r="60" spans="3:21" x14ac:dyDescent="0.35">
      <c r="C60" s="93"/>
      <c r="D60" s="93"/>
      <c r="E60" s="93"/>
      <c r="F60" s="93"/>
      <c r="G60" s="93"/>
      <c r="H60" s="93"/>
      <c r="I60" s="93"/>
      <c r="J60" s="93"/>
      <c r="K60" s="93"/>
      <c r="L60" s="93"/>
      <c r="M60" s="93"/>
      <c r="N60" s="93"/>
      <c r="O60" s="93"/>
      <c r="P60" s="93"/>
      <c r="Q60" s="93"/>
      <c r="R60" s="93"/>
      <c r="S60" s="93"/>
      <c r="T60" s="93"/>
      <c r="U60" s="93"/>
    </row>
  </sheetData>
  <mergeCells count="1">
    <mergeCell ref="I2:M2"/>
  </mergeCells>
  <conditionalFormatting sqref="F58">
    <cfRule type="colorScale" priority="6">
      <colorScale>
        <cfvo type="min"/>
        <cfvo type="percentile" val="50"/>
        <cfvo type="max"/>
        <color rgb="FFF8696B"/>
        <color rgb="FFFFEB84"/>
        <color rgb="FF63BE7B"/>
      </colorScale>
    </cfRule>
  </conditionalFormatting>
  <conditionalFormatting sqref="F35:F54">
    <cfRule type="colorScale" priority="1">
      <colorScale>
        <cfvo type="min"/>
        <cfvo type="percentile" val="50"/>
        <cfvo type="max"/>
        <color rgb="FFF8696B"/>
        <color rgb="FFFFEB84"/>
        <color rgb="FF63BE7B"/>
      </colorScale>
    </cfRule>
  </conditionalFormatting>
  <dataValidations count="14">
    <dataValidation type="list" allowBlank="1" showInputMessage="1" showErrorMessage="1" sqref="F6">
      <formula1>Size_of_evaluation_elements</formula1>
    </dataValidation>
    <dataValidation type="list" allowBlank="1" showInputMessage="1" showErrorMessage="1" sqref="G6">
      <formula1>Nature_of_indicator</formula1>
    </dataValidation>
    <dataValidation type="list" allowBlank="1" showInputMessage="1" showErrorMessage="1" sqref="H6">
      <formula1>Number_decision_maker</formula1>
    </dataValidation>
    <dataValidation type="list" allowBlank="1" showInputMessage="1" showErrorMessage="1" sqref="I6">
      <formula1>Type_of_solution</formula1>
    </dataValidation>
    <dataValidation type="list" allowBlank="1" showInputMessage="1" showErrorMessage="1" sqref="J6">
      <formula1>Technical_support</formula1>
    </dataValidation>
    <dataValidation type="list" allowBlank="1" showInputMessage="1" showErrorMessage="1" sqref="K6">
      <formula1>Type_of_decision_making_problem</formula1>
    </dataValidation>
    <dataValidation type="list" allowBlank="1" showInputMessage="1" showErrorMessage="1" sqref="L6">
      <formula1>Solution_Approach</formula1>
    </dataValidation>
    <dataValidation type="list" allowBlank="1" showInputMessage="1" showErrorMessage="1" sqref="M6">
      <formula1>Easy_of_use</formula1>
    </dataValidation>
    <dataValidation type="list" allowBlank="1" showInputMessage="1" showErrorMessage="1" sqref="N6">
      <formula1>Implementation_procedure</formula1>
    </dataValidation>
    <dataValidation type="list" allowBlank="1" showInputMessage="1" showErrorMessage="1" sqref="O6">
      <formula1>Output_typology</formula1>
    </dataValidation>
    <dataValidation type="list" allowBlank="1" showInputMessage="1" showErrorMessage="1" sqref="P6">
      <formula1>Decision_problem_solution</formula1>
    </dataValidation>
    <dataValidation type="list" allowBlank="1" showInputMessage="1" showErrorMessage="1" sqref="Q6">
      <formula1>Structure_of_criteria</formula1>
    </dataValidation>
    <dataValidation type="list" allowBlank="1" showInputMessage="1" showErrorMessage="1" sqref="R6">
      <formula1>Software_support</formula1>
    </dataValidation>
    <dataValidation type="list" allowBlank="1" showInputMessage="1" showErrorMessage="1" sqref="S6">
      <formula1>Degree_of_method_usage</formula1>
    </dataValidation>
  </dataValidations>
  <hyperlinks>
    <hyperlink ref="F5" location="'Index of Suitability (IS)'!F6" tooltip="Click the choice the size of elements" display="Size of evaluation elements"/>
    <hyperlink ref="O5" location="'Index of Suitability (IS)'!O6" tooltip="Click to select output typology" display="Output Typology"/>
    <hyperlink ref="S5" location="'Index of Suitability (IS)'!S6" tooltip="Click to select degree of using the method in area" display="Degree of using the method in area"/>
    <hyperlink ref="R5" location="'Index of Suitability (IS)'!R6" tooltip="Click to select software support" display="Software support"/>
    <hyperlink ref="Q5" location="'Index of Suitability (IS)'!Q6" tooltip="Click to select the structure of criteria" display="Structure of criteria"/>
    <hyperlink ref="P5" location="'Index of Suitability (IS)'!P6" tooltip="Cick to select the natutre of decision problem solution" display="Decision Problem Solution"/>
    <hyperlink ref="N5" location="'Index of Suitability (IS)'!N6" tooltip="Click to select the implementation procedure" display="Implementation Procedure"/>
    <hyperlink ref="M5" location="'Index of Suitability (IS)'!M6" tooltip="Click to select the ease of use" display="Ease of use"/>
    <hyperlink ref="L5" location="'Index of Suitability (IS)'!L6" tooltip="Click to select the solution approach" display="Solution Approach"/>
    <hyperlink ref="K5" location="'Index of Suitability (IS)'!K6" tooltip="Click to select type of decision-making problem" display="Type of decision-making problem"/>
    <hyperlink ref="J5" location="'Index of Suitability (IS)'!J6" tooltip="Click to select the type of technical support" display="Technical Support"/>
    <hyperlink ref="I5" location="'Index of Suitability (IS)'!I6" tooltip="Click to select the type of solution" display="Type of solution"/>
    <hyperlink ref="H5" location="'Index of Suitability (IS)'!H6" tooltip="Click Select the number of decision-makers" display="Number of decision-makers"/>
    <hyperlink ref="G5" location="'Index of Suitability (IS)'!G6" tooltip="Click to select the nature of Indicators’ values" display="Nature of Indicators’ values"/>
  </hyperlinks>
  <printOptions horizontalCentered="1" verticalCentered="1"/>
  <pageMargins left="0.23622047244094491" right="0.23622047244094491" top="0.19685039370078741" bottom="0.59055118110236227" header="0.19685039370078741" footer="0.31496062992125984"/>
  <pageSetup paperSize="9" scale="44" orientation="landscape" r:id="rId1"/>
  <headerFooter>
    <oddFooter>&amp;C&amp;F   &amp;D&amp;T</oddFooter>
  </headerFooter>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V6"/>
  <sheetViews>
    <sheetView topLeftCell="R1" workbookViewId="0">
      <selection activeCell="E10" sqref="E10"/>
    </sheetView>
  </sheetViews>
  <sheetFormatPr defaultColWidth="5.7265625" defaultRowHeight="14.5" x14ac:dyDescent="0.35"/>
  <cols>
    <col min="2" max="2" width="21.90625" style="7" customWidth="1"/>
    <col min="3" max="3" width="6.26953125" customWidth="1"/>
    <col min="4" max="4" width="10.26953125" customWidth="1"/>
    <col min="5" max="5" width="13.08984375" customWidth="1"/>
    <col min="6" max="6" width="8.54296875" customWidth="1"/>
    <col min="7" max="7" width="6.1796875" customWidth="1"/>
    <col min="8" max="8" width="8.36328125" customWidth="1"/>
    <col min="9" max="9" width="10.81640625" customWidth="1"/>
    <col min="10" max="10" width="14.7265625" customWidth="1"/>
    <col min="11" max="11" width="9.26953125" customWidth="1"/>
    <col min="12" max="12" width="9.54296875" customWidth="1"/>
    <col min="13" max="13" width="8.6328125" customWidth="1"/>
    <col min="14" max="14" width="6.1796875" customWidth="1"/>
    <col min="15" max="17" width="7.7265625" customWidth="1"/>
    <col min="18" max="18" width="7" customWidth="1"/>
    <col min="19" max="19" width="7.08984375" customWidth="1"/>
    <col min="20" max="20" width="6.1796875" customWidth="1"/>
    <col min="21" max="21" width="8.6328125" customWidth="1"/>
    <col min="22" max="22" width="6.81640625" customWidth="1"/>
  </cols>
  <sheetData>
    <row r="1" spans="1:22" ht="15" thickBot="1" x14ac:dyDescent="0.4"/>
    <row r="2" spans="1:22" ht="21.5" customHeight="1" thickBot="1" x14ac:dyDescent="0.4">
      <c r="A2" s="24" t="s">
        <v>118</v>
      </c>
      <c r="B2" s="3" t="s">
        <v>20</v>
      </c>
      <c r="C2" s="46" t="s">
        <v>0</v>
      </c>
      <c r="D2" s="47" t="s">
        <v>1</v>
      </c>
      <c r="E2" s="47" t="s">
        <v>2</v>
      </c>
      <c r="F2" s="47" t="s">
        <v>3</v>
      </c>
      <c r="G2" s="47" t="s">
        <v>4</v>
      </c>
      <c r="H2" s="47" t="s">
        <v>5</v>
      </c>
      <c r="I2" s="47" t="s">
        <v>6</v>
      </c>
      <c r="J2" s="47" t="s">
        <v>7</v>
      </c>
      <c r="K2" s="47" t="s">
        <v>8</v>
      </c>
      <c r="L2" s="47" t="s">
        <v>9</v>
      </c>
      <c r="M2" s="47" t="s">
        <v>10</v>
      </c>
      <c r="N2" s="47" t="s">
        <v>11</v>
      </c>
      <c r="O2" s="47" t="s">
        <v>12</v>
      </c>
      <c r="P2" s="47" t="s">
        <v>13</v>
      </c>
      <c r="Q2" s="47" t="s">
        <v>14</v>
      </c>
      <c r="R2" s="47" t="s">
        <v>15</v>
      </c>
      <c r="S2" s="47" t="s">
        <v>16</v>
      </c>
      <c r="T2" s="47" t="s">
        <v>17</v>
      </c>
      <c r="U2" s="47" t="s">
        <v>18</v>
      </c>
      <c r="V2" s="47" t="s">
        <v>19</v>
      </c>
    </row>
    <row r="3" spans="1:22" ht="25.5" customHeight="1" x14ac:dyDescent="0.35">
      <c r="A3" s="43" t="s">
        <v>114</v>
      </c>
      <c r="B3" s="44" t="s">
        <v>34</v>
      </c>
      <c r="C3" s="26"/>
      <c r="D3" s="28">
        <v>1</v>
      </c>
      <c r="E3" s="26"/>
      <c r="F3" s="26"/>
      <c r="G3" s="26"/>
      <c r="H3" s="26"/>
      <c r="I3" s="26"/>
      <c r="J3" s="26"/>
      <c r="K3" s="26"/>
      <c r="L3" s="26"/>
      <c r="M3" s="26"/>
      <c r="N3" s="26"/>
      <c r="O3" s="28"/>
      <c r="P3" s="28"/>
      <c r="Q3" s="26"/>
      <c r="R3" s="26"/>
      <c r="S3" s="26"/>
      <c r="T3" s="26"/>
      <c r="U3" s="26"/>
      <c r="V3" s="26"/>
    </row>
    <row r="4" spans="1:22" ht="32.5" customHeight="1" x14ac:dyDescent="0.35">
      <c r="A4" s="43" t="s">
        <v>115</v>
      </c>
      <c r="B4" s="44" t="s">
        <v>35</v>
      </c>
      <c r="C4" s="26"/>
      <c r="D4" s="26"/>
      <c r="E4" s="26"/>
      <c r="F4" s="26"/>
      <c r="G4" s="26"/>
      <c r="H4" s="26"/>
      <c r="I4" s="26"/>
      <c r="J4" s="26"/>
      <c r="K4" s="26"/>
      <c r="L4" s="26"/>
      <c r="M4" s="26"/>
      <c r="N4" s="26"/>
      <c r="O4" s="28">
        <v>1</v>
      </c>
      <c r="P4" s="28">
        <v>1</v>
      </c>
      <c r="Q4" s="26"/>
      <c r="R4" s="26"/>
      <c r="S4" s="26"/>
      <c r="T4" s="26"/>
      <c r="U4" s="28">
        <v>1</v>
      </c>
      <c r="V4" s="26"/>
    </row>
    <row r="5" spans="1:22" ht="36" x14ac:dyDescent="0.35">
      <c r="A5" s="43" t="s">
        <v>116</v>
      </c>
      <c r="B5" s="44" t="s">
        <v>36</v>
      </c>
      <c r="C5" s="28">
        <v>1</v>
      </c>
      <c r="D5" s="26"/>
      <c r="E5" s="26"/>
      <c r="F5" s="26"/>
      <c r="G5" s="28">
        <v>1</v>
      </c>
      <c r="H5" s="26"/>
      <c r="I5" s="28">
        <v>1</v>
      </c>
      <c r="J5" s="26"/>
      <c r="K5" s="26"/>
      <c r="L5" s="26"/>
      <c r="M5" s="28">
        <v>1</v>
      </c>
      <c r="N5" s="26"/>
      <c r="O5" s="26"/>
      <c r="P5" s="26"/>
      <c r="Q5" s="28">
        <v>1</v>
      </c>
      <c r="R5" s="28">
        <v>1</v>
      </c>
      <c r="S5" s="26"/>
      <c r="T5" s="26"/>
      <c r="U5" s="26"/>
      <c r="V5" s="26"/>
    </row>
    <row r="6" spans="1:22" ht="24" x14ac:dyDescent="0.35">
      <c r="A6" s="43" t="s">
        <v>117</v>
      </c>
      <c r="B6" s="44" t="s">
        <v>37</v>
      </c>
      <c r="C6" s="26"/>
      <c r="D6" s="26"/>
      <c r="E6" s="28">
        <v>1</v>
      </c>
      <c r="F6" s="28">
        <v>1</v>
      </c>
      <c r="G6" s="26"/>
      <c r="H6" s="28">
        <v>1</v>
      </c>
      <c r="I6" s="26"/>
      <c r="J6" s="28">
        <v>1</v>
      </c>
      <c r="K6" s="28">
        <v>1</v>
      </c>
      <c r="L6" s="28">
        <v>1</v>
      </c>
      <c r="M6" s="26"/>
      <c r="N6" s="28">
        <v>1</v>
      </c>
      <c r="O6" s="26"/>
      <c r="P6" s="26"/>
      <c r="Q6" s="26"/>
      <c r="R6" s="26"/>
      <c r="S6" s="28">
        <v>1</v>
      </c>
      <c r="T6" s="26"/>
      <c r="U6" s="26"/>
      <c r="V6" s="28">
        <v>1</v>
      </c>
    </row>
  </sheetData>
  <pageMargins left="0.7" right="0.7" top="0.75" bottom="0.75" header="0.3" footer="0.3"/>
  <tableParts count="1">
    <tablePart r:id="rId1"/>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V5"/>
  <sheetViews>
    <sheetView topLeftCell="R1" workbookViewId="0">
      <selection activeCell="B2" sqref="B2:B5"/>
    </sheetView>
  </sheetViews>
  <sheetFormatPr defaultColWidth="6.08984375" defaultRowHeight="14.5" x14ac:dyDescent="0.35"/>
  <cols>
    <col min="1" max="1" width="9.36328125" style="19" customWidth="1"/>
    <col min="2" max="2" width="23" customWidth="1"/>
    <col min="3" max="3" width="6.26953125" customWidth="1"/>
    <col min="4" max="4" width="10.26953125" customWidth="1"/>
    <col min="5" max="5" width="13.08984375" customWidth="1"/>
    <col min="6" max="6" width="8.54296875" customWidth="1"/>
    <col min="7" max="7" width="6.1796875" customWidth="1"/>
    <col min="8" max="8" width="8.36328125" customWidth="1"/>
    <col min="9" max="9" width="10.81640625" customWidth="1"/>
    <col min="10" max="10" width="14.7265625" customWidth="1"/>
    <col min="11" max="11" width="9.26953125" customWidth="1"/>
    <col min="12" max="12" width="9.54296875" customWidth="1"/>
    <col min="13" max="13" width="8.6328125" customWidth="1"/>
    <col min="14" max="14" width="6.1796875" customWidth="1"/>
    <col min="15" max="17" width="7.7265625" customWidth="1"/>
    <col min="18" max="18" width="7" customWidth="1"/>
    <col min="19" max="19" width="7.08984375" customWidth="1"/>
    <col min="20" max="20" width="6.1796875" customWidth="1"/>
    <col min="21" max="21" width="8.6328125" customWidth="1"/>
    <col min="22" max="22" width="6.81640625" customWidth="1"/>
  </cols>
  <sheetData>
    <row r="1" spans="1:22" ht="15" thickBot="1" x14ac:dyDescent="0.4">
      <c r="B1" s="3"/>
    </row>
    <row r="2" spans="1:22" ht="15" thickBot="1" x14ac:dyDescent="0.4">
      <c r="A2" s="24" t="s">
        <v>118</v>
      </c>
      <c r="B2" s="3" t="s">
        <v>21</v>
      </c>
      <c r="C2" s="46" t="s">
        <v>0</v>
      </c>
      <c r="D2" s="47" t="s">
        <v>1</v>
      </c>
      <c r="E2" s="47" t="s">
        <v>2</v>
      </c>
      <c r="F2" s="47" t="s">
        <v>3</v>
      </c>
      <c r="G2" s="47" t="s">
        <v>4</v>
      </c>
      <c r="H2" s="47" t="s">
        <v>5</v>
      </c>
      <c r="I2" s="47" t="s">
        <v>6</v>
      </c>
      <c r="J2" s="47" t="s">
        <v>7</v>
      </c>
      <c r="K2" s="47" t="s">
        <v>8</v>
      </c>
      <c r="L2" s="47" t="s">
        <v>9</v>
      </c>
      <c r="M2" s="47" t="s">
        <v>10</v>
      </c>
      <c r="N2" s="47" t="s">
        <v>11</v>
      </c>
      <c r="O2" s="47" t="s">
        <v>12</v>
      </c>
      <c r="P2" s="47" t="s">
        <v>13</v>
      </c>
      <c r="Q2" s="47" t="s">
        <v>14</v>
      </c>
      <c r="R2" s="47" t="s">
        <v>15</v>
      </c>
      <c r="S2" s="47" t="s">
        <v>16</v>
      </c>
      <c r="T2" s="47" t="s">
        <v>17</v>
      </c>
      <c r="U2" s="47" t="s">
        <v>18</v>
      </c>
      <c r="V2" s="47" t="s">
        <v>19</v>
      </c>
    </row>
    <row r="3" spans="1:22" x14ac:dyDescent="0.35">
      <c r="A3" s="43" t="s">
        <v>119</v>
      </c>
      <c r="B3" s="3" t="s">
        <v>38</v>
      </c>
      <c r="C3" s="28">
        <v>1</v>
      </c>
      <c r="D3" s="28">
        <v>1</v>
      </c>
      <c r="E3" s="28">
        <v>1</v>
      </c>
      <c r="F3" s="28">
        <v>1</v>
      </c>
      <c r="G3" s="28">
        <v>1</v>
      </c>
      <c r="H3" s="26"/>
      <c r="I3" s="28">
        <v>1</v>
      </c>
      <c r="J3" s="26"/>
      <c r="K3" s="26"/>
      <c r="L3" s="28">
        <v>1</v>
      </c>
      <c r="M3" s="28">
        <v>1</v>
      </c>
      <c r="N3" s="26"/>
      <c r="O3" s="28">
        <v>1</v>
      </c>
      <c r="P3" s="28">
        <v>1</v>
      </c>
      <c r="Q3" s="26"/>
      <c r="R3" s="28">
        <v>1</v>
      </c>
      <c r="S3" s="28">
        <v>1</v>
      </c>
      <c r="T3" s="26"/>
      <c r="U3" s="28">
        <v>1</v>
      </c>
      <c r="V3" s="28">
        <v>1</v>
      </c>
    </row>
    <row r="4" spans="1:22" x14ac:dyDescent="0.35">
      <c r="A4" s="43" t="s">
        <v>120</v>
      </c>
      <c r="B4" s="3" t="s">
        <v>39</v>
      </c>
      <c r="C4" s="26"/>
      <c r="D4" s="28">
        <v>1</v>
      </c>
      <c r="E4" s="28">
        <v>1</v>
      </c>
      <c r="F4" s="28">
        <v>1</v>
      </c>
      <c r="G4" s="26"/>
      <c r="H4" s="28">
        <v>1</v>
      </c>
      <c r="I4" s="26"/>
      <c r="J4" s="28">
        <v>1</v>
      </c>
      <c r="K4" s="28">
        <v>1</v>
      </c>
      <c r="L4" s="28">
        <v>1</v>
      </c>
      <c r="M4" s="28">
        <v>1</v>
      </c>
      <c r="N4" s="28">
        <v>1</v>
      </c>
      <c r="O4" s="28">
        <v>1</v>
      </c>
      <c r="P4" s="28">
        <v>1</v>
      </c>
      <c r="Q4" s="26"/>
      <c r="R4" s="28">
        <v>1</v>
      </c>
      <c r="S4" s="28">
        <v>1</v>
      </c>
      <c r="T4" s="28">
        <v>1</v>
      </c>
      <c r="U4" s="28">
        <v>1</v>
      </c>
      <c r="V4" s="28">
        <v>1</v>
      </c>
    </row>
    <row r="5" spans="1:22" x14ac:dyDescent="0.35">
      <c r="A5" s="43" t="s">
        <v>121</v>
      </c>
      <c r="B5" s="3" t="s">
        <v>40</v>
      </c>
      <c r="C5" s="26"/>
      <c r="D5" s="45">
        <v>1</v>
      </c>
      <c r="E5" s="28">
        <v>1</v>
      </c>
      <c r="F5" s="28">
        <v>1</v>
      </c>
      <c r="G5" s="26"/>
      <c r="H5" s="26"/>
      <c r="I5" s="26"/>
      <c r="J5" s="26"/>
      <c r="K5" s="26"/>
      <c r="L5" s="28">
        <v>1</v>
      </c>
      <c r="M5" s="28">
        <v>1</v>
      </c>
      <c r="N5" s="26"/>
      <c r="O5" s="28">
        <v>1</v>
      </c>
      <c r="P5" s="28">
        <v>1</v>
      </c>
      <c r="Q5" s="28">
        <v>1</v>
      </c>
      <c r="R5" s="28">
        <v>1</v>
      </c>
      <c r="S5" s="26"/>
      <c r="T5" s="26"/>
      <c r="U5" s="28">
        <v>1</v>
      </c>
      <c r="V5" s="28">
        <v>1</v>
      </c>
    </row>
  </sheetData>
  <pageMargins left="0.7" right="0.7" top="0.75" bottom="0.75" header="0.3" footer="0.3"/>
  <tableParts count="1">
    <tablePart r:id="rId1"/>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V5"/>
  <sheetViews>
    <sheetView workbookViewId="0">
      <selection activeCell="B3" sqref="B3:B5"/>
    </sheetView>
  </sheetViews>
  <sheetFormatPr defaultColWidth="6.1796875" defaultRowHeight="14.5" x14ac:dyDescent="0.35"/>
  <cols>
    <col min="1" max="1" width="9.81640625" style="19" customWidth="1"/>
    <col min="2" max="2" width="24.81640625" customWidth="1"/>
    <col min="4" max="4" width="10.08984375" customWidth="1"/>
    <col min="5" max="5" width="12.81640625" customWidth="1"/>
    <col min="6" max="6" width="8.453125" customWidth="1"/>
    <col min="8" max="8" width="7.90625" customWidth="1"/>
    <col min="9" max="9" width="10.6328125" customWidth="1"/>
    <col min="10" max="10" width="14.08984375" customWidth="1"/>
    <col min="11" max="11" width="8.81640625" customWidth="1"/>
    <col min="12" max="12" width="9.36328125" customWidth="1"/>
    <col min="13" max="13" width="8.26953125" customWidth="1"/>
    <col min="15" max="15" width="7.6328125" customWidth="1"/>
    <col min="16" max="17" width="7.54296875" customWidth="1"/>
    <col min="18" max="18" width="6.90625" customWidth="1"/>
    <col min="19" max="19" width="7" customWidth="1"/>
    <col min="21" max="21" width="8.453125" customWidth="1"/>
    <col min="22" max="22" width="6.7265625" customWidth="1"/>
  </cols>
  <sheetData>
    <row r="1" spans="1:22" ht="15" thickBot="1" x14ac:dyDescent="0.4">
      <c r="B1" s="3"/>
    </row>
    <row r="2" spans="1:22" ht="15" thickBot="1" x14ac:dyDescent="0.4">
      <c r="A2" s="24" t="s">
        <v>118</v>
      </c>
      <c r="B2" s="3" t="s">
        <v>22</v>
      </c>
      <c r="C2" s="46" t="s">
        <v>0</v>
      </c>
      <c r="D2" s="47" t="s">
        <v>1</v>
      </c>
      <c r="E2" s="47" t="s">
        <v>2</v>
      </c>
      <c r="F2" s="47" t="s">
        <v>3</v>
      </c>
      <c r="G2" s="47" t="s">
        <v>4</v>
      </c>
      <c r="H2" s="47" t="s">
        <v>5</v>
      </c>
      <c r="I2" s="47" t="s">
        <v>6</v>
      </c>
      <c r="J2" s="47" t="s">
        <v>7</v>
      </c>
      <c r="K2" s="47" t="s">
        <v>8</v>
      </c>
      <c r="L2" s="47" t="s">
        <v>9</v>
      </c>
      <c r="M2" s="47" t="s">
        <v>10</v>
      </c>
      <c r="N2" s="47" t="s">
        <v>11</v>
      </c>
      <c r="O2" s="47" t="s">
        <v>12</v>
      </c>
      <c r="P2" s="47" t="s">
        <v>13</v>
      </c>
      <c r="Q2" s="47" t="s">
        <v>14</v>
      </c>
      <c r="R2" s="47" t="s">
        <v>15</v>
      </c>
      <c r="S2" s="47" t="s">
        <v>16</v>
      </c>
      <c r="T2" s="47" t="s">
        <v>17</v>
      </c>
      <c r="U2" s="47" t="s">
        <v>18</v>
      </c>
      <c r="V2" s="47" t="s">
        <v>19</v>
      </c>
    </row>
    <row r="3" spans="1:22" ht="27.5" customHeight="1" x14ac:dyDescent="0.35">
      <c r="A3" s="43" t="s">
        <v>122</v>
      </c>
      <c r="B3" s="3" t="s">
        <v>41</v>
      </c>
      <c r="C3" s="26"/>
      <c r="D3" s="26"/>
      <c r="E3" s="26"/>
      <c r="F3" s="26"/>
      <c r="G3" s="26"/>
      <c r="H3" s="26"/>
      <c r="I3" s="26"/>
      <c r="J3" s="26"/>
      <c r="K3" s="26"/>
      <c r="L3" s="26"/>
      <c r="M3" s="26"/>
      <c r="N3" s="28">
        <v>1</v>
      </c>
      <c r="O3" s="26"/>
      <c r="P3" s="26"/>
      <c r="Q3" s="26"/>
      <c r="R3" s="28">
        <v>1</v>
      </c>
      <c r="S3" s="26"/>
      <c r="T3" s="26"/>
      <c r="U3" s="26"/>
      <c r="V3" s="26"/>
    </row>
    <row r="4" spans="1:22" ht="20" customHeight="1" x14ac:dyDescent="0.35">
      <c r="A4" s="43" t="s">
        <v>123</v>
      </c>
      <c r="B4" s="3" t="s">
        <v>42</v>
      </c>
      <c r="C4" s="28">
        <v>1</v>
      </c>
      <c r="D4" s="28">
        <v>1</v>
      </c>
      <c r="E4" s="28">
        <v>1</v>
      </c>
      <c r="F4" s="26"/>
      <c r="G4" s="28">
        <v>1</v>
      </c>
      <c r="H4" s="26"/>
      <c r="I4" s="28">
        <v>1</v>
      </c>
      <c r="J4" s="28">
        <v>1</v>
      </c>
      <c r="K4" s="28">
        <v>1</v>
      </c>
      <c r="L4" s="26"/>
      <c r="M4" s="28">
        <v>1</v>
      </c>
      <c r="N4" s="26"/>
      <c r="O4" s="28">
        <v>1</v>
      </c>
      <c r="P4" s="28">
        <v>1</v>
      </c>
      <c r="Q4" s="28">
        <v>1</v>
      </c>
      <c r="R4" s="28">
        <v>1</v>
      </c>
      <c r="S4" s="28">
        <v>1</v>
      </c>
      <c r="T4" s="28">
        <v>1</v>
      </c>
      <c r="U4" s="26"/>
      <c r="V4" s="26"/>
    </row>
    <row r="5" spans="1:22" ht="29" customHeight="1" x14ac:dyDescent="0.35">
      <c r="A5" s="43" t="s">
        <v>124</v>
      </c>
      <c r="B5" s="3" t="s">
        <v>43</v>
      </c>
      <c r="C5" s="26"/>
      <c r="D5" s="26"/>
      <c r="E5" s="28">
        <v>1</v>
      </c>
      <c r="F5" s="28">
        <v>1</v>
      </c>
      <c r="G5" s="26"/>
      <c r="H5" s="28">
        <v>1</v>
      </c>
      <c r="I5" s="26"/>
      <c r="J5" s="28"/>
      <c r="K5" s="28"/>
      <c r="L5" s="28">
        <v>1</v>
      </c>
      <c r="M5" s="26"/>
      <c r="N5" s="26"/>
      <c r="O5" s="28">
        <v>1</v>
      </c>
      <c r="P5" s="28">
        <v>1</v>
      </c>
      <c r="Q5" s="26"/>
      <c r="R5" s="26"/>
      <c r="S5" s="26"/>
      <c r="T5" s="26"/>
      <c r="U5" s="28">
        <v>1</v>
      </c>
      <c r="V5" s="28">
        <v>1</v>
      </c>
    </row>
  </sheetData>
  <pageMargins left="0.7" right="0.7" top="0.75" bottom="0.75" header="0.3" footer="0.3"/>
  <tableParts count="1">
    <tablePart r:id="rId1"/>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
  <dimension ref="A1:V5"/>
  <sheetViews>
    <sheetView workbookViewId="0">
      <selection activeCell="B3" sqref="B3:B5"/>
    </sheetView>
  </sheetViews>
  <sheetFormatPr defaultColWidth="5.453125" defaultRowHeight="14.5" x14ac:dyDescent="0.35"/>
  <cols>
    <col min="1" max="1" width="8.6328125" customWidth="1"/>
    <col min="2" max="2" width="17.36328125" customWidth="1"/>
    <col min="3" max="3" width="6.26953125" customWidth="1"/>
    <col min="4" max="4" width="10.26953125" customWidth="1"/>
    <col min="5" max="5" width="13.08984375" customWidth="1"/>
    <col min="6" max="6" width="8.54296875" customWidth="1"/>
    <col min="7" max="7" width="6.1796875" customWidth="1"/>
    <col min="8" max="8" width="8.36328125" customWidth="1"/>
    <col min="9" max="9" width="10.81640625" customWidth="1"/>
    <col min="10" max="10" width="14.7265625" customWidth="1"/>
    <col min="11" max="11" width="9.26953125" customWidth="1"/>
    <col min="12" max="12" width="9.54296875" customWidth="1"/>
    <col min="13" max="13" width="8.6328125" customWidth="1"/>
    <col min="14" max="14" width="6.1796875" customWidth="1"/>
    <col min="15" max="17" width="7.7265625" customWidth="1"/>
    <col min="18" max="18" width="7" customWidth="1"/>
    <col min="19" max="19" width="7.08984375" customWidth="1"/>
    <col min="20" max="20" width="6.1796875" customWidth="1"/>
    <col min="21" max="21" width="8.6328125" customWidth="1"/>
    <col min="22" max="22" width="6.81640625" customWidth="1"/>
  </cols>
  <sheetData>
    <row r="1" spans="1:22" ht="15" thickBot="1" x14ac:dyDescent="0.4"/>
    <row r="2" spans="1:22" ht="15" thickBot="1" x14ac:dyDescent="0.4">
      <c r="A2" s="24" t="s">
        <v>118</v>
      </c>
      <c r="B2" s="3" t="s">
        <v>23</v>
      </c>
      <c r="C2" s="46" t="s">
        <v>0</v>
      </c>
      <c r="D2" s="47" t="s">
        <v>1</v>
      </c>
      <c r="E2" s="47" t="s">
        <v>2</v>
      </c>
      <c r="F2" s="47" t="s">
        <v>3</v>
      </c>
      <c r="G2" s="47" t="s">
        <v>4</v>
      </c>
      <c r="H2" s="47" t="s">
        <v>5</v>
      </c>
      <c r="I2" s="47" t="s">
        <v>6</v>
      </c>
      <c r="J2" s="47" t="s">
        <v>7</v>
      </c>
      <c r="K2" s="47" t="s">
        <v>8</v>
      </c>
      <c r="L2" s="47" t="s">
        <v>9</v>
      </c>
      <c r="M2" s="47" t="s">
        <v>10</v>
      </c>
      <c r="N2" s="47" t="s">
        <v>11</v>
      </c>
      <c r="O2" s="47" t="s">
        <v>12</v>
      </c>
      <c r="P2" s="47" t="s">
        <v>13</v>
      </c>
      <c r="Q2" s="47" t="s">
        <v>14</v>
      </c>
      <c r="R2" s="47" t="s">
        <v>15</v>
      </c>
      <c r="S2" s="47" t="s">
        <v>16</v>
      </c>
      <c r="T2" s="47" t="s">
        <v>17</v>
      </c>
      <c r="U2" s="47" t="s">
        <v>18</v>
      </c>
      <c r="V2" s="47" t="s">
        <v>19</v>
      </c>
    </row>
    <row r="3" spans="1:22" ht="26" customHeight="1" x14ac:dyDescent="0.35">
      <c r="A3" s="43" t="s">
        <v>125</v>
      </c>
      <c r="B3" s="3" t="s">
        <v>45</v>
      </c>
      <c r="C3" s="25"/>
      <c r="D3" s="28">
        <v>1</v>
      </c>
      <c r="E3" s="25"/>
      <c r="F3" s="25"/>
      <c r="G3" s="25"/>
      <c r="H3" s="25"/>
      <c r="I3" s="28" t="s">
        <v>44</v>
      </c>
      <c r="J3" s="25"/>
      <c r="K3" s="25"/>
      <c r="L3" s="25"/>
      <c r="M3" s="25"/>
      <c r="N3" s="25"/>
      <c r="O3" s="25"/>
      <c r="P3" s="25"/>
      <c r="Q3" s="25"/>
      <c r="R3" s="25"/>
      <c r="S3" s="25"/>
      <c r="T3" s="25"/>
      <c r="U3" s="25"/>
      <c r="V3" s="25"/>
    </row>
    <row r="4" spans="1:22" ht="25" customHeight="1" x14ac:dyDescent="0.35">
      <c r="A4" s="43" t="s">
        <v>126</v>
      </c>
      <c r="B4" s="3" t="s">
        <v>46</v>
      </c>
      <c r="C4" s="28">
        <v>1</v>
      </c>
      <c r="D4" s="25"/>
      <c r="E4" s="28">
        <v>1</v>
      </c>
      <c r="F4" s="25"/>
      <c r="G4" s="28">
        <v>1</v>
      </c>
      <c r="H4" s="25"/>
      <c r="I4" s="28"/>
      <c r="J4" s="25"/>
      <c r="K4" s="25"/>
      <c r="L4" s="28">
        <v>1</v>
      </c>
      <c r="M4" s="28">
        <v>1</v>
      </c>
      <c r="N4" s="28"/>
      <c r="O4" s="28">
        <v>1</v>
      </c>
      <c r="P4" s="28">
        <v>1</v>
      </c>
      <c r="Q4" s="28">
        <v>1</v>
      </c>
      <c r="R4" s="28">
        <v>1</v>
      </c>
      <c r="S4" s="25"/>
      <c r="T4" s="25"/>
      <c r="U4" s="28">
        <v>1</v>
      </c>
      <c r="V4" s="28">
        <v>1</v>
      </c>
    </row>
    <row r="5" spans="1:22" ht="25.5" customHeight="1" x14ac:dyDescent="0.35">
      <c r="A5" s="43" t="s">
        <v>127</v>
      </c>
      <c r="B5" s="3" t="s">
        <v>47</v>
      </c>
      <c r="C5" s="25"/>
      <c r="D5" s="25"/>
      <c r="E5" s="25"/>
      <c r="F5" s="28">
        <v>1</v>
      </c>
      <c r="G5" s="25"/>
      <c r="H5" s="28">
        <v>1</v>
      </c>
      <c r="I5" s="28"/>
      <c r="J5" s="28">
        <v>1</v>
      </c>
      <c r="K5" s="28">
        <v>1</v>
      </c>
      <c r="L5" s="25"/>
      <c r="M5" s="25"/>
      <c r="N5" s="28">
        <v>1</v>
      </c>
      <c r="O5" s="25"/>
      <c r="P5" s="25"/>
      <c r="Q5" s="25"/>
      <c r="R5" s="25"/>
      <c r="S5" s="28">
        <v>1</v>
      </c>
      <c r="T5" s="25"/>
      <c r="U5" s="25"/>
      <c r="V5" s="25"/>
    </row>
  </sheetData>
  <pageMargins left="0.7" right="0.7" top="0.75" bottom="0.75" header="0.3" footer="0.3"/>
  <tableParts count="1">
    <tablePart r:id="rId1"/>
  </tablePart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
  <dimension ref="A2:V4"/>
  <sheetViews>
    <sheetView workbookViewId="0">
      <selection activeCell="B3" sqref="B3:B4"/>
    </sheetView>
  </sheetViews>
  <sheetFormatPr defaultColWidth="5.7265625" defaultRowHeight="14.5" x14ac:dyDescent="0.35"/>
  <cols>
    <col min="1" max="1" width="9.08984375" customWidth="1"/>
    <col min="2" max="2" width="15.7265625" customWidth="1"/>
    <col min="3" max="3" width="11" customWidth="1"/>
    <col min="4" max="4" width="10.26953125" customWidth="1"/>
    <col min="5" max="5" width="13.08984375" customWidth="1"/>
    <col min="6" max="6" width="8.54296875" customWidth="1"/>
    <col min="7" max="7" width="6.1796875" customWidth="1"/>
    <col min="8" max="8" width="8.36328125" customWidth="1"/>
    <col min="9" max="9" width="10.81640625" customWidth="1"/>
    <col min="10" max="10" width="14.7265625" customWidth="1"/>
    <col min="11" max="11" width="9.26953125" customWidth="1"/>
    <col min="12" max="12" width="9.54296875" customWidth="1"/>
    <col min="13" max="13" width="8.6328125" customWidth="1"/>
    <col min="14" max="14" width="6.1796875" customWidth="1"/>
    <col min="15" max="17" width="7.7265625" customWidth="1"/>
    <col min="18" max="18" width="7" customWidth="1"/>
    <col min="19" max="19" width="7.08984375" customWidth="1"/>
    <col min="20" max="20" width="6.1796875" customWidth="1"/>
    <col min="21" max="21" width="8.6328125" customWidth="1"/>
    <col min="22" max="22" width="6.81640625" customWidth="1"/>
  </cols>
  <sheetData>
    <row r="2" spans="1:22" x14ac:dyDescent="0.35">
      <c r="A2" s="24" t="s">
        <v>118</v>
      </c>
      <c r="B2" s="3" t="s">
        <v>24</v>
      </c>
      <c r="C2" s="43" t="s">
        <v>0</v>
      </c>
      <c r="D2" s="43" t="s">
        <v>1</v>
      </c>
      <c r="E2" s="43" t="s">
        <v>2</v>
      </c>
      <c r="F2" s="43" t="s">
        <v>3</v>
      </c>
      <c r="G2" s="43" t="s">
        <v>4</v>
      </c>
      <c r="H2" s="43" t="s">
        <v>5</v>
      </c>
      <c r="I2" s="43" t="s">
        <v>6</v>
      </c>
      <c r="J2" s="43" t="s">
        <v>7</v>
      </c>
      <c r="K2" s="43" t="s">
        <v>8</v>
      </c>
      <c r="L2" s="43" t="s">
        <v>9</v>
      </c>
      <c r="M2" s="43" t="s">
        <v>10</v>
      </c>
      <c r="N2" s="43" t="s">
        <v>11</v>
      </c>
      <c r="O2" s="43" t="s">
        <v>12</v>
      </c>
      <c r="P2" s="43" t="s">
        <v>13</v>
      </c>
      <c r="Q2" s="43" t="s">
        <v>14</v>
      </c>
      <c r="R2" s="43" t="s">
        <v>15</v>
      </c>
      <c r="S2" s="43" t="s">
        <v>16</v>
      </c>
      <c r="T2" s="43" t="s">
        <v>17</v>
      </c>
      <c r="U2" s="43" t="s">
        <v>18</v>
      </c>
      <c r="V2" s="43" t="s">
        <v>19</v>
      </c>
    </row>
    <row r="3" spans="1:22" x14ac:dyDescent="0.35">
      <c r="A3" s="43" t="s">
        <v>128</v>
      </c>
      <c r="B3" s="3" t="s">
        <v>48</v>
      </c>
      <c r="C3" s="28">
        <v>1</v>
      </c>
      <c r="D3" s="28"/>
      <c r="E3" s="28">
        <v>1</v>
      </c>
      <c r="F3" s="28">
        <v>1</v>
      </c>
      <c r="G3" s="28"/>
      <c r="H3" s="28">
        <v>1</v>
      </c>
      <c r="I3" s="28">
        <v>1</v>
      </c>
      <c r="J3" s="28">
        <v>1</v>
      </c>
      <c r="K3" s="28">
        <v>1</v>
      </c>
      <c r="L3" s="28">
        <v>1</v>
      </c>
      <c r="M3" s="28">
        <v>1</v>
      </c>
      <c r="N3" s="28">
        <v>1</v>
      </c>
      <c r="O3" s="28"/>
      <c r="P3" s="28"/>
      <c r="Q3" s="28"/>
      <c r="R3" s="28">
        <v>1</v>
      </c>
      <c r="S3" s="28">
        <v>1</v>
      </c>
      <c r="T3" s="28"/>
      <c r="U3" s="28">
        <v>1</v>
      </c>
      <c r="V3" s="28">
        <v>1</v>
      </c>
    </row>
    <row r="4" spans="1:22" x14ac:dyDescent="0.35">
      <c r="A4" s="43" t="s">
        <v>129</v>
      </c>
      <c r="B4" s="3" t="s">
        <v>49</v>
      </c>
      <c r="C4" s="28"/>
      <c r="D4" s="28">
        <v>1</v>
      </c>
      <c r="E4" s="28"/>
      <c r="F4" s="28"/>
      <c r="G4" s="28">
        <v>1</v>
      </c>
      <c r="H4" s="28"/>
      <c r="I4" s="28"/>
      <c r="J4" s="28"/>
      <c r="K4" s="28"/>
      <c r="L4" s="28"/>
      <c r="M4" s="28"/>
      <c r="N4" s="28"/>
      <c r="O4" s="28">
        <v>1</v>
      </c>
      <c r="P4" s="28">
        <v>1</v>
      </c>
      <c r="Q4" s="28">
        <v>1</v>
      </c>
      <c r="R4" s="28"/>
      <c r="S4" s="28"/>
      <c r="T4" s="28"/>
      <c r="U4" s="28"/>
      <c r="V4" s="28"/>
    </row>
  </sheetData>
  <pageMargins left="0.7" right="0.7" top="0.75" bottom="0.75" header="0.3" footer="0.3"/>
  <tableParts count="1">
    <tablePart r:id="rId1"/>
  </tablePart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8"/>
  <dimension ref="A1:V6"/>
  <sheetViews>
    <sheetView topLeftCell="A2" workbookViewId="0">
      <selection activeCell="D10" sqref="D10"/>
    </sheetView>
  </sheetViews>
  <sheetFormatPr defaultColWidth="5.54296875" defaultRowHeight="14.5" x14ac:dyDescent="0.35"/>
  <cols>
    <col min="1" max="1" width="10.26953125" customWidth="1"/>
    <col min="2" max="2" width="26.54296875" customWidth="1"/>
    <col min="3" max="3" width="6.26953125" customWidth="1"/>
    <col min="4" max="4" width="10.26953125" customWidth="1"/>
    <col min="5" max="5" width="13.08984375" customWidth="1"/>
    <col min="6" max="6" width="8.54296875" customWidth="1"/>
    <col min="7" max="7" width="6.1796875" customWidth="1"/>
    <col min="8" max="8" width="8.36328125" customWidth="1"/>
    <col min="9" max="9" width="10.81640625" customWidth="1"/>
    <col min="10" max="10" width="14.7265625" customWidth="1"/>
    <col min="11" max="11" width="9.26953125" customWidth="1"/>
    <col min="12" max="12" width="9.54296875" customWidth="1"/>
    <col min="13" max="13" width="8.6328125" customWidth="1"/>
    <col min="14" max="14" width="6.1796875" customWidth="1"/>
    <col min="15" max="17" width="7.7265625" customWidth="1"/>
    <col min="18" max="18" width="7" customWidth="1"/>
    <col min="19" max="19" width="7.08984375" customWidth="1"/>
    <col min="20" max="20" width="6.1796875" customWidth="1"/>
    <col min="21" max="21" width="8.6328125" customWidth="1"/>
    <col min="22" max="22" width="6.81640625" customWidth="1"/>
  </cols>
  <sheetData>
    <row r="1" spans="1:22" ht="15" thickBot="1" x14ac:dyDescent="0.4"/>
    <row r="2" spans="1:22" ht="23.5" thickBot="1" x14ac:dyDescent="0.4">
      <c r="A2" t="s">
        <v>118</v>
      </c>
      <c r="B2" s="3" t="s">
        <v>25</v>
      </c>
      <c r="C2" s="46" t="s">
        <v>0</v>
      </c>
      <c r="D2" s="47" t="s">
        <v>1</v>
      </c>
      <c r="E2" s="47" t="s">
        <v>2</v>
      </c>
      <c r="F2" s="47" t="s">
        <v>3</v>
      </c>
      <c r="G2" s="47" t="s">
        <v>4</v>
      </c>
      <c r="H2" s="47" t="s">
        <v>5</v>
      </c>
      <c r="I2" s="47" t="s">
        <v>6</v>
      </c>
      <c r="J2" s="47" t="s">
        <v>7</v>
      </c>
      <c r="K2" s="47" t="s">
        <v>8</v>
      </c>
      <c r="L2" s="47" t="s">
        <v>9</v>
      </c>
      <c r="M2" s="47" t="s">
        <v>10</v>
      </c>
      <c r="N2" s="47" t="s">
        <v>11</v>
      </c>
      <c r="O2" s="47" t="s">
        <v>12</v>
      </c>
      <c r="P2" s="47" t="s">
        <v>13</v>
      </c>
      <c r="Q2" s="47" t="s">
        <v>14</v>
      </c>
      <c r="R2" s="47" t="s">
        <v>15</v>
      </c>
      <c r="S2" s="47" t="s">
        <v>16</v>
      </c>
      <c r="T2" s="47" t="s">
        <v>17</v>
      </c>
      <c r="U2" s="47" t="s">
        <v>18</v>
      </c>
      <c r="V2" s="48" t="s">
        <v>19</v>
      </c>
    </row>
    <row r="3" spans="1:22" ht="15" thickBot="1" x14ac:dyDescent="0.4">
      <c r="A3" s="17" t="s">
        <v>130</v>
      </c>
      <c r="B3" s="1" t="s">
        <v>50</v>
      </c>
      <c r="C3" s="5">
        <v>1</v>
      </c>
      <c r="D3" s="5">
        <v>1</v>
      </c>
      <c r="E3" s="5">
        <v>1</v>
      </c>
      <c r="F3" s="5">
        <v>1</v>
      </c>
      <c r="G3" s="5">
        <v>1</v>
      </c>
      <c r="H3" s="5">
        <v>1</v>
      </c>
      <c r="I3" s="5">
        <v>1</v>
      </c>
      <c r="J3" s="5">
        <v>1</v>
      </c>
      <c r="K3" s="5">
        <v>1</v>
      </c>
      <c r="L3" s="5">
        <v>1</v>
      </c>
      <c r="M3" s="5">
        <v>1</v>
      </c>
      <c r="N3" s="5">
        <v>1</v>
      </c>
      <c r="O3" s="5">
        <v>1</v>
      </c>
      <c r="P3" s="5">
        <v>1</v>
      </c>
      <c r="Q3" s="5">
        <v>1</v>
      </c>
      <c r="R3" s="5">
        <v>1</v>
      </c>
      <c r="S3" s="5">
        <v>1</v>
      </c>
      <c r="T3" s="5">
        <v>1</v>
      </c>
      <c r="U3" s="5">
        <v>1</v>
      </c>
      <c r="V3" s="27">
        <v>1</v>
      </c>
    </row>
    <row r="4" spans="1:22" ht="19.5" customHeight="1" thickBot="1" x14ac:dyDescent="0.4">
      <c r="A4" s="18" t="s">
        <v>131</v>
      </c>
      <c r="B4" s="1" t="s">
        <v>51</v>
      </c>
      <c r="C4" s="122">
        <v>1</v>
      </c>
      <c r="D4" s="122">
        <v>1</v>
      </c>
      <c r="E4" s="4"/>
      <c r="F4" s="4"/>
      <c r="G4" s="4"/>
      <c r="H4" s="4"/>
      <c r="I4" s="4"/>
      <c r="J4" s="4"/>
      <c r="K4" s="4"/>
      <c r="L4" s="4"/>
      <c r="M4" s="4"/>
      <c r="N4" s="4"/>
      <c r="O4" s="4"/>
      <c r="P4" s="4"/>
      <c r="Q4" s="4"/>
      <c r="R4" s="4"/>
      <c r="S4" s="4"/>
      <c r="T4" s="4"/>
      <c r="U4" s="4"/>
      <c r="V4" s="27">
        <v>1</v>
      </c>
    </row>
    <row r="5" spans="1:22" ht="21.5" customHeight="1" thickBot="1" x14ac:dyDescent="0.4">
      <c r="A5" s="18" t="s">
        <v>132</v>
      </c>
      <c r="B5" s="1" t="s">
        <v>52</v>
      </c>
      <c r="C5" s="5">
        <v>1</v>
      </c>
      <c r="D5" s="4"/>
      <c r="E5" s="4"/>
      <c r="F5" s="4"/>
      <c r="G5" s="4"/>
      <c r="H5" s="4"/>
      <c r="I5" s="4"/>
      <c r="J5" s="4"/>
      <c r="K5" s="4"/>
      <c r="L5" s="4"/>
      <c r="M5" s="4"/>
      <c r="N5" s="5">
        <v>1</v>
      </c>
      <c r="O5" s="4"/>
      <c r="P5" s="5">
        <v>1</v>
      </c>
      <c r="Q5" s="5">
        <v>1</v>
      </c>
      <c r="R5" s="4"/>
      <c r="S5" s="4"/>
      <c r="T5" s="4"/>
      <c r="U5" s="4"/>
      <c r="V5" s="27">
        <v>1</v>
      </c>
    </row>
    <row r="6" spans="1:22" ht="15" thickBot="1" x14ac:dyDescent="0.4">
      <c r="A6" s="22" t="s">
        <v>133</v>
      </c>
      <c r="B6" s="16" t="s">
        <v>53</v>
      </c>
      <c r="C6" s="20">
        <v>1</v>
      </c>
      <c r="D6" s="21">
        <v>1</v>
      </c>
      <c r="E6" s="21"/>
      <c r="F6" s="21"/>
      <c r="G6" s="21">
        <v>1</v>
      </c>
      <c r="H6" s="21"/>
      <c r="I6" s="21"/>
      <c r="J6" s="21"/>
      <c r="K6" s="21"/>
      <c r="L6" s="21"/>
      <c r="M6" s="21"/>
      <c r="N6" s="21"/>
      <c r="O6" s="21">
        <v>1</v>
      </c>
      <c r="P6" s="21"/>
      <c r="Q6" s="21"/>
      <c r="R6" s="21"/>
      <c r="S6" s="21"/>
      <c r="T6" s="21"/>
      <c r="U6" s="21"/>
      <c r="V6" s="49"/>
    </row>
  </sheetData>
  <pageMargins left="0.7" right="0.7" top="0.75" bottom="0.75" header="0.3" footer="0.3"/>
  <tableParts count="1">
    <tablePart r:id="rId1"/>
  </tablePart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9"/>
  <dimension ref="A2:V6"/>
  <sheetViews>
    <sheetView workbookViewId="0">
      <selection activeCell="B3" sqref="B3:B6"/>
    </sheetView>
  </sheetViews>
  <sheetFormatPr defaultColWidth="6.54296875" defaultRowHeight="14.5" x14ac:dyDescent="0.35"/>
  <cols>
    <col min="2" max="2" width="19.26953125" customWidth="1"/>
    <col min="4" max="4" width="10.08984375" customWidth="1"/>
    <col min="5" max="5" width="12.81640625" customWidth="1"/>
    <col min="6" max="6" width="8.453125" customWidth="1"/>
    <col min="8" max="8" width="7.90625" customWidth="1"/>
    <col min="9" max="9" width="10.6328125" customWidth="1"/>
    <col min="10" max="10" width="14.08984375" customWidth="1"/>
    <col min="11" max="11" width="8.81640625" customWidth="1"/>
    <col min="12" max="12" width="9.36328125" customWidth="1"/>
    <col min="13" max="13" width="8.26953125" customWidth="1"/>
    <col min="15" max="15" width="7.6328125" customWidth="1"/>
    <col min="16" max="17" width="7.54296875" customWidth="1"/>
    <col min="18" max="18" width="6.90625" customWidth="1"/>
    <col min="19" max="19" width="7" customWidth="1"/>
    <col min="21" max="21" width="8.453125" customWidth="1"/>
    <col min="22" max="22" width="6.7265625" customWidth="1"/>
  </cols>
  <sheetData>
    <row r="2" spans="1:22" x14ac:dyDescent="0.35">
      <c r="A2" s="42" t="s">
        <v>118</v>
      </c>
      <c r="B2" s="31" t="s">
        <v>26</v>
      </c>
      <c r="C2" s="52" t="s">
        <v>0</v>
      </c>
      <c r="D2" s="52" t="s">
        <v>1</v>
      </c>
      <c r="E2" s="52" t="s">
        <v>2</v>
      </c>
      <c r="F2" s="52" t="s">
        <v>3</v>
      </c>
      <c r="G2" s="52" t="s">
        <v>4</v>
      </c>
      <c r="H2" s="52" t="s">
        <v>5</v>
      </c>
      <c r="I2" s="52" t="s">
        <v>6</v>
      </c>
      <c r="J2" s="52" t="s">
        <v>7</v>
      </c>
      <c r="K2" s="52" t="s">
        <v>8</v>
      </c>
      <c r="L2" s="52" t="s">
        <v>9</v>
      </c>
      <c r="M2" s="52" t="s">
        <v>10</v>
      </c>
      <c r="N2" s="52" t="s">
        <v>11</v>
      </c>
      <c r="O2" s="52" t="s">
        <v>12</v>
      </c>
      <c r="P2" s="52" t="s">
        <v>13</v>
      </c>
      <c r="Q2" s="52" t="s">
        <v>14</v>
      </c>
      <c r="R2" s="52" t="s">
        <v>15</v>
      </c>
      <c r="S2" s="52" t="s">
        <v>16</v>
      </c>
      <c r="T2" s="52" t="s">
        <v>17</v>
      </c>
      <c r="U2" s="52" t="s">
        <v>18</v>
      </c>
      <c r="V2" s="53" t="s">
        <v>19</v>
      </c>
    </row>
    <row r="3" spans="1:22" ht="21" customHeight="1" x14ac:dyDescent="0.35">
      <c r="A3" s="32" t="s">
        <v>134</v>
      </c>
      <c r="B3" s="13" t="s">
        <v>54</v>
      </c>
      <c r="C3" s="34">
        <v>1</v>
      </c>
      <c r="D3" s="33"/>
      <c r="E3" s="33"/>
      <c r="F3" s="33"/>
      <c r="G3" s="34">
        <v>1</v>
      </c>
      <c r="H3" s="33"/>
      <c r="I3" s="33"/>
      <c r="J3" s="33"/>
      <c r="K3" s="33"/>
      <c r="L3" s="34">
        <v>1</v>
      </c>
      <c r="M3" s="34"/>
      <c r="N3" s="33"/>
      <c r="O3" s="34">
        <v>1</v>
      </c>
      <c r="P3" s="34">
        <v>1</v>
      </c>
      <c r="Q3" s="34">
        <v>1</v>
      </c>
      <c r="R3" s="34">
        <v>1</v>
      </c>
      <c r="S3" s="33"/>
      <c r="T3" s="33"/>
      <c r="U3" s="34">
        <v>1</v>
      </c>
      <c r="V3" s="58">
        <v>1</v>
      </c>
    </row>
    <row r="4" spans="1:22" x14ac:dyDescent="0.35">
      <c r="A4" s="32" t="s">
        <v>135</v>
      </c>
      <c r="B4" s="13" t="s">
        <v>55</v>
      </c>
      <c r="C4" s="33"/>
      <c r="D4" s="34">
        <v>1</v>
      </c>
      <c r="E4" s="34">
        <v>1</v>
      </c>
      <c r="F4" s="33"/>
      <c r="G4" s="33"/>
      <c r="H4" s="33"/>
      <c r="I4" s="33"/>
      <c r="J4" s="33"/>
      <c r="K4" s="33"/>
      <c r="L4" s="33"/>
      <c r="M4" s="34">
        <v>1</v>
      </c>
      <c r="N4" s="33"/>
      <c r="O4" s="33"/>
      <c r="P4" s="33"/>
      <c r="Q4" s="33"/>
      <c r="R4" s="33"/>
      <c r="S4" s="33"/>
      <c r="T4" s="33"/>
      <c r="U4" s="33"/>
      <c r="V4" s="35"/>
    </row>
    <row r="5" spans="1:22" ht="25" customHeight="1" x14ac:dyDescent="0.35">
      <c r="A5" s="32" t="s">
        <v>136</v>
      </c>
      <c r="B5" s="13" t="s">
        <v>56</v>
      </c>
      <c r="C5" s="33"/>
      <c r="D5" s="33"/>
      <c r="E5" s="33"/>
      <c r="F5" s="34">
        <v>1</v>
      </c>
      <c r="G5" s="33"/>
      <c r="H5" s="34">
        <v>1</v>
      </c>
      <c r="I5" s="34">
        <v>1</v>
      </c>
      <c r="J5" s="33"/>
      <c r="K5" s="33"/>
      <c r="L5" s="33"/>
      <c r="M5" s="33"/>
      <c r="N5" s="34">
        <v>1</v>
      </c>
      <c r="O5" s="33"/>
      <c r="P5" s="33"/>
      <c r="Q5" s="33"/>
      <c r="R5" s="33"/>
      <c r="S5" s="34">
        <v>1</v>
      </c>
      <c r="T5" s="33"/>
      <c r="U5" s="33"/>
      <c r="V5" s="35"/>
    </row>
    <row r="6" spans="1:22" x14ac:dyDescent="0.35">
      <c r="A6" s="36" t="s">
        <v>137</v>
      </c>
      <c r="B6" s="59" t="s">
        <v>57</v>
      </c>
      <c r="C6" s="37"/>
      <c r="D6" s="37"/>
      <c r="E6" s="37"/>
      <c r="F6" s="37"/>
      <c r="G6" s="37"/>
      <c r="H6" s="37"/>
      <c r="I6" s="37"/>
      <c r="J6" s="38">
        <v>1</v>
      </c>
      <c r="K6" s="38">
        <v>1</v>
      </c>
      <c r="L6" s="37"/>
      <c r="M6" s="37"/>
      <c r="N6" s="37"/>
      <c r="O6" s="37"/>
      <c r="P6" s="37"/>
      <c r="Q6" s="37"/>
      <c r="R6" s="37"/>
      <c r="S6" s="37"/>
      <c r="T6" s="37"/>
      <c r="U6" s="37"/>
      <c r="V6" s="60"/>
    </row>
  </sheetData>
  <pageMargins left="0.7" right="0.7" top="0.75" bottom="0.75" header="0.3" footer="0.3"/>
  <tableParts count="1">
    <tablePart r:id="rId1"/>
  </tablePart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0"/>
  <dimension ref="A2:V5"/>
  <sheetViews>
    <sheetView workbookViewId="0">
      <selection activeCell="B3" sqref="B3:B5"/>
    </sheetView>
  </sheetViews>
  <sheetFormatPr defaultColWidth="6.453125" defaultRowHeight="14.5" x14ac:dyDescent="0.35"/>
  <cols>
    <col min="1" max="1" width="6.453125" style="19"/>
    <col min="2" max="2" width="12.453125" customWidth="1"/>
    <col min="4" max="4" width="9.81640625" customWidth="1"/>
    <col min="5" max="5" width="13.26953125" customWidth="1"/>
    <col min="6" max="6" width="8.54296875" customWidth="1"/>
    <col min="8" max="8" width="7.90625" customWidth="1"/>
    <col min="9" max="9" width="10.81640625" customWidth="1"/>
    <col min="10" max="10" width="14.90625" customWidth="1"/>
    <col min="11" max="11" width="9.54296875" customWidth="1"/>
    <col min="12" max="12" width="9.81640625" customWidth="1"/>
    <col min="13" max="13" width="8.54296875" customWidth="1"/>
    <col min="15" max="15" width="8" customWidth="1"/>
    <col min="16" max="16" width="7.81640625" customWidth="1"/>
    <col min="17" max="17" width="7.7265625" customWidth="1"/>
    <col min="18" max="18" width="7.453125" customWidth="1"/>
    <col min="19" max="19" width="7.1796875" customWidth="1"/>
    <col min="21" max="21" width="8.7265625" customWidth="1"/>
    <col min="22" max="22" width="7.26953125" customWidth="1"/>
  </cols>
  <sheetData>
    <row r="2" spans="1:22" x14ac:dyDescent="0.35">
      <c r="A2" t="s">
        <v>118</v>
      </c>
      <c r="B2" t="s">
        <v>27</v>
      </c>
      <c r="C2" t="s">
        <v>0</v>
      </c>
      <c r="D2" t="s">
        <v>1</v>
      </c>
      <c r="E2" t="s">
        <v>2</v>
      </c>
      <c r="F2" t="s">
        <v>3</v>
      </c>
      <c r="G2" t="s">
        <v>4</v>
      </c>
      <c r="H2" t="s">
        <v>5</v>
      </c>
      <c r="I2" t="s">
        <v>6</v>
      </c>
      <c r="J2" t="s">
        <v>7</v>
      </c>
      <c r="K2" t="s">
        <v>8</v>
      </c>
      <c r="L2" t="s">
        <v>9</v>
      </c>
      <c r="M2" t="s">
        <v>10</v>
      </c>
      <c r="N2" t="s">
        <v>11</v>
      </c>
      <c r="O2" t="s">
        <v>12</v>
      </c>
      <c r="P2" t="s">
        <v>13</v>
      </c>
      <c r="Q2" t="s">
        <v>14</v>
      </c>
      <c r="R2" t="s">
        <v>15</v>
      </c>
      <c r="S2" t="s">
        <v>16</v>
      </c>
      <c r="T2" t="s">
        <v>17</v>
      </c>
      <c r="U2" t="s">
        <v>18</v>
      </c>
      <c r="V2" t="s">
        <v>19</v>
      </c>
    </row>
    <row r="3" spans="1:22" ht="19" customHeight="1" x14ac:dyDescent="0.35">
      <c r="A3" t="s">
        <v>138</v>
      </c>
      <c r="B3" s="62" t="s">
        <v>58</v>
      </c>
      <c r="F3">
        <v>1</v>
      </c>
      <c r="H3">
        <v>1</v>
      </c>
      <c r="J3">
        <v>1</v>
      </c>
      <c r="K3">
        <v>1</v>
      </c>
      <c r="L3">
        <v>1</v>
      </c>
      <c r="M3">
        <v>1</v>
      </c>
      <c r="N3">
        <v>1</v>
      </c>
      <c r="R3">
        <v>1</v>
      </c>
      <c r="S3">
        <v>1</v>
      </c>
      <c r="U3">
        <v>1</v>
      </c>
      <c r="V3">
        <v>1</v>
      </c>
    </row>
    <row r="4" spans="1:22" ht="18" customHeight="1" x14ac:dyDescent="0.35">
      <c r="A4" t="s">
        <v>139</v>
      </c>
      <c r="B4" s="62" t="s">
        <v>59</v>
      </c>
      <c r="E4">
        <v>1</v>
      </c>
      <c r="I4">
        <v>1</v>
      </c>
      <c r="N4">
        <v>1</v>
      </c>
    </row>
    <row r="5" spans="1:22" ht="19" customHeight="1" x14ac:dyDescent="0.35">
      <c r="A5" t="s">
        <v>140</v>
      </c>
      <c r="B5" s="62" t="s">
        <v>60</v>
      </c>
      <c r="C5">
        <v>1</v>
      </c>
      <c r="D5">
        <v>1</v>
      </c>
      <c r="G5">
        <v>1</v>
      </c>
      <c r="O5">
        <v>1</v>
      </c>
      <c r="P5">
        <v>1</v>
      </c>
      <c r="Q5">
        <v>1</v>
      </c>
    </row>
  </sheetData>
  <pageMargins left="0.7" right="0.7" top="0.75" bottom="0.75" header="0.3" footer="0.3"/>
  <tableParts count="1">
    <tablePart r:id="rId1"/>
  </tablePart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1"/>
  <dimension ref="A2:V16"/>
  <sheetViews>
    <sheetView topLeftCell="A2" workbookViewId="0">
      <selection activeCell="D4" sqref="D4"/>
    </sheetView>
  </sheetViews>
  <sheetFormatPr defaultColWidth="5.90625" defaultRowHeight="14.5" x14ac:dyDescent="0.35"/>
  <cols>
    <col min="1" max="1" width="7.54296875" customWidth="1"/>
    <col min="2" max="2" width="21.7265625" customWidth="1"/>
    <col min="3" max="3" width="6.08984375" customWidth="1"/>
    <col min="4" max="4" width="10.08984375" customWidth="1"/>
    <col min="5" max="5" width="12.81640625" customWidth="1"/>
    <col min="6" max="6" width="8.453125" customWidth="1"/>
    <col min="7" max="7" width="6.08984375" customWidth="1"/>
    <col min="8" max="8" width="7.90625" customWidth="1"/>
    <col min="9" max="9" width="10.6328125" customWidth="1"/>
    <col min="10" max="10" width="14.08984375" customWidth="1"/>
    <col min="11" max="11" width="8.81640625" customWidth="1"/>
    <col min="12" max="12" width="9.36328125" customWidth="1"/>
    <col min="13" max="13" width="8.26953125" customWidth="1"/>
    <col min="14" max="14" width="6.08984375" customWidth="1"/>
    <col min="15" max="15" width="7.6328125" customWidth="1"/>
    <col min="16" max="17" width="7.54296875" customWidth="1"/>
    <col min="18" max="18" width="6.90625" customWidth="1"/>
    <col min="19" max="19" width="7" customWidth="1"/>
    <col min="20" max="20" width="6" customWidth="1"/>
    <col min="21" max="21" width="8.453125" customWidth="1"/>
    <col min="22" max="22" width="6.7265625" customWidth="1"/>
  </cols>
  <sheetData>
    <row r="2" spans="1:22" x14ac:dyDescent="0.35">
      <c r="A2" s="40" t="s">
        <v>118</v>
      </c>
      <c r="B2" s="55" t="s">
        <v>153</v>
      </c>
      <c r="C2" s="56" t="s">
        <v>0</v>
      </c>
      <c r="D2" s="56" t="s">
        <v>1</v>
      </c>
      <c r="E2" s="56" t="s">
        <v>2</v>
      </c>
      <c r="F2" s="56" t="s">
        <v>3</v>
      </c>
      <c r="G2" s="56" t="s">
        <v>4</v>
      </c>
      <c r="H2" s="56" t="s">
        <v>5</v>
      </c>
      <c r="I2" s="56" t="s">
        <v>6</v>
      </c>
      <c r="J2" s="56" t="s">
        <v>7</v>
      </c>
      <c r="K2" s="56" t="s">
        <v>8</v>
      </c>
      <c r="L2" s="56" t="s">
        <v>9</v>
      </c>
      <c r="M2" s="56" t="s">
        <v>10</v>
      </c>
      <c r="N2" s="56" t="s">
        <v>11</v>
      </c>
      <c r="O2" s="56" t="s">
        <v>12</v>
      </c>
      <c r="P2" s="56" t="s">
        <v>13</v>
      </c>
      <c r="Q2" s="56" t="s">
        <v>14</v>
      </c>
      <c r="R2" s="56" t="s">
        <v>15</v>
      </c>
      <c r="S2" s="56" t="s">
        <v>16</v>
      </c>
      <c r="T2" s="56" t="s">
        <v>17</v>
      </c>
      <c r="U2" s="56" t="s">
        <v>18</v>
      </c>
      <c r="V2" s="57" t="s">
        <v>19</v>
      </c>
    </row>
    <row r="3" spans="1:22" ht="23" customHeight="1" x14ac:dyDescent="0.35">
      <c r="A3" s="50" t="s">
        <v>62</v>
      </c>
      <c r="B3" s="10" t="s">
        <v>63</v>
      </c>
      <c r="C3" s="12">
        <v>1</v>
      </c>
      <c r="D3" s="51"/>
      <c r="E3" s="51"/>
      <c r="F3" s="51"/>
      <c r="G3" s="51"/>
      <c r="H3" s="51"/>
      <c r="I3" s="12"/>
      <c r="J3" s="51"/>
      <c r="K3" s="51"/>
      <c r="L3" s="12">
        <v>1</v>
      </c>
      <c r="M3" s="51"/>
      <c r="N3" s="51"/>
      <c r="O3" s="51"/>
      <c r="P3" s="51"/>
      <c r="Q3" s="51"/>
      <c r="R3" s="12">
        <v>1</v>
      </c>
      <c r="S3" s="51"/>
      <c r="T3" s="51"/>
      <c r="U3" s="51"/>
      <c r="V3" s="51"/>
    </row>
    <row r="4" spans="1:22" ht="41" customHeight="1" x14ac:dyDescent="0.35">
      <c r="A4" s="50" t="s">
        <v>64</v>
      </c>
      <c r="B4" s="10" t="s">
        <v>65</v>
      </c>
      <c r="C4" s="12"/>
      <c r="D4" s="12"/>
      <c r="E4" s="12"/>
      <c r="F4" s="12"/>
      <c r="G4" s="12"/>
      <c r="H4" s="12"/>
      <c r="I4" s="12">
        <v>1</v>
      </c>
      <c r="J4" s="12"/>
      <c r="K4" s="12"/>
      <c r="L4" s="12">
        <v>1</v>
      </c>
      <c r="M4" s="12"/>
      <c r="N4" s="12"/>
      <c r="O4" s="12"/>
      <c r="P4" s="12"/>
      <c r="Q4" s="12"/>
      <c r="R4" s="12"/>
      <c r="S4" s="12"/>
      <c r="T4" s="12"/>
      <c r="U4" s="12"/>
      <c r="V4" s="12"/>
    </row>
    <row r="5" spans="1:22" ht="39" customHeight="1" x14ac:dyDescent="0.35">
      <c r="A5" s="50" t="s">
        <v>66</v>
      </c>
      <c r="B5" s="10" t="s">
        <v>67</v>
      </c>
      <c r="C5" s="51"/>
      <c r="D5" s="51"/>
      <c r="E5" s="51"/>
      <c r="F5" s="51"/>
      <c r="G5" s="12">
        <v>1</v>
      </c>
      <c r="H5" s="51"/>
      <c r="I5" s="12"/>
      <c r="J5" s="51"/>
      <c r="K5" s="51"/>
      <c r="L5" s="12">
        <v>1</v>
      </c>
      <c r="M5" s="51"/>
      <c r="N5" s="51"/>
      <c r="O5" s="51"/>
      <c r="P5" s="51"/>
      <c r="Q5" s="51"/>
      <c r="R5" s="51"/>
      <c r="S5" s="51"/>
      <c r="T5" s="51"/>
      <c r="U5" s="51"/>
      <c r="V5" s="51"/>
    </row>
    <row r="6" spans="1:22" ht="28" customHeight="1" x14ac:dyDescent="0.35">
      <c r="A6" s="50" t="s">
        <v>68</v>
      </c>
      <c r="B6" s="10" t="s">
        <v>69</v>
      </c>
      <c r="C6" s="51"/>
      <c r="D6" s="51"/>
      <c r="E6" s="12">
        <v>1</v>
      </c>
      <c r="F6" s="51"/>
      <c r="G6" s="51"/>
      <c r="H6" s="51"/>
      <c r="I6" s="12"/>
      <c r="J6" s="51"/>
      <c r="K6" s="51"/>
      <c r="L6" s="51"/>
      <c r="M6" s="51"/>
      <c r="N6" s="51"/>
      <c r="O6" s="51"/>
      <c r="P6" s="51"/>
      <c r="Q6" s="51"/>
      <c r="R6" s="51"/>
      <c r="S6" s="51"/>
      <c r="T6" s="51"/>
      <c r="U6" s="51"/>
      <c r="V6" s="51"/>
    </row>
    <row r="7" spans="1:22" ht="23" customHeight="1" x14ac:dyDescent="0.35">
      <c r="A7" s="50" t="s">
        <v>70</v>
      </c>
      <c r="B7" s="10" t="s">
        <v>71</v>
      </c>
      <c r="C7" s="51"/>
      <c r="D7" s="12">
        <v>1</v>
      </c>
      <c r="E7" s="51"/>
      <c r="F7" s="51"/>
      <c r="G7" s="51"/>
      <c r="H7" s="51"/>
      <c r="I7" s="12"/>
      <c r="J7" s="51"/>
      <c r="K7" s="51"/>
      <c r="L7" s="51"/>
      <c r="M7" s="51"/>
      <c r="N7" s="51"/>
      <c r="O7" s="51"/>
      <c r="P7" s="51"/>
      <c r="Q7" s="51"/>
      <c r="R7" s="51"/>
      <c r="S7" s="51"/>
      <c r="T7" s="51"/>
      <c r="U7" s="51"/>
      <c r="V7" s="51"/>
    </row>
    <row r="8" spans="1:22" ht="20" customHeight="1" x14ac:dyDescent="0.35">
      <c r="A8" s="50" t="s">
        <v>72</v>
      </c>
      <c r="B8" s="10" t="s">
        <v>73</v>
      </c>
      <c r="C8" s="51"/>
      <c r="D8" s="51"/>
      <c r="E8" s="51"/>
      <c r="F8" s="12">
        <v>1</v>
      </c>
      <c r="G8" s="51"/>
      <c r="H8" s="51"/>
      <c r="I8" s="12"/>
      <c r="J8" s="51"/>
      <c r="K8" s="51"/>
      <c r="L8" s="51"/>
      <c r="M8" s="51"/>
      <c r="N8" s="51"/>
      <c r="O8" s="51"/>
      <c r="P8" s="51"/>
      <c r="Q8" s="51"/>
      <c r="R8" s="51"/>
      <c r="S8" s="51"/>
      <c r="T8" s="51"/>
      <c r="U8" s="51"/>
      <c r="V8" s="51"/>
    </row>
    <row r="9" spans="1:22" ht="18" customHeight="1" x14ac:dyDescent="0.35">
      <c r="A9" s="50" t="s">
        <v>74</v>
      </c>
      <c r="B9" s="10" t="s">
        <v>75</v>
      </c>
      <c r="C9" s="12"/>
      <c r="D9" s="12"/>
      <c r="E9" s="12"/>
      <c r="F9" s="12"/>
      <c r="G9" s="12"/>
      <c r="H9" s="12">
        <v>1</v>
      </c>
      <c r="I9" s="12"/>
      <c r="J9" s="12"/>
      <c r="K9" s="12"/>
      <c r="L9" s="12"/>
      <c r="M9" s="12"/>
      <c r="N9" s="12"/>
      <c r="O9" s="12"/>
      <c r="P9" s="12"/>
      <c r="Q9" s="12"/>
      <c r="R9" s="12"/>
      <c r="S9" s="12"/>
      <c r="T9" s="12"/>
      <c r="U9" s="12"/>
      <c r="V9" s="12"/>
    </row>
    <row r="10" spans="1:22" ht="24.5" customHeight="1" x14ac:dyDescent="0.35">
      <c r="A10" s="50" t="s">
        <v>76</v>
      </c>
      <c r="B10" s="10" t="s">
        <v>77</v>
      </c>
      <c r="C10" s="51"/>
      <c r="D10" s="51"/>
      <c r="E10" s="51"/>
      <c r="F10" s="51"/>
      <c r="G10" s="51"/>
      <c r="H10" s="51"/>
      <c r="I10" s="12"/>
      <c r="J10" s="51"/>
      <c r="K10" s="51"/>
      <c r="L10" s="51"/>
      <c r="M10" s="51"/>
      <c r="N10" s="12">
        <v>1</v>
      </c>
      <c r="O10" s="51"/>
      <c r="P10" s="51"/>
      <c r="Q10" s="51"/>
      <c r="R10" s="51"/>
      <c r="S10" s="51"/>
      <c r="T10" s="51"/>
      <c r="U10" s="51"/>
      <c r="V10" s="51"/>
    </row>
    <row r="11" spans="1:22" x14ac:dyDescent="0.35">
      <c r="A11" s="50" t="s">
        <v>78</v>
      </c>
      <c r="B11" s="10" t="s">
        <v>79</v>
      </c>
      <c r="C11" s="2"/>
      <c r="D11" s="2"/>
      <c r="E11" s="2"/>
      <c r="F11" s="2"/>
      <c r="G11" s="2"/>
      <c r="H11" s="2"/>
      <c r="I11" s="2"/>
      <c r="J11" s="2"/>
      <c r="K11" s="2"/>
      <c r="L11" s="2"/>
      <c r="M11" s="2"/>
      <c r="N11" s="2"/>
      <c r="O11" s="2">
        <v>1</v>
      </c>
      <c r="P11" s="2"/>
      <c r="Q11" s="2"/>
      <c r="R11" s="2"/>
      <c r="S11" s="2"/>
      <c r="T11" s="2"/>
      <c r="U11" s="2"/>
      <c r="V11" s="2"/>
    </row>
    <row r="12" spans="1:22" s="2" customFormat="1" x14ac:dyDescent="0.35">
      <c r="A12" s="50" t="s">
        <v>80</v>
      </c>
      <c r="B12" s="10" t="s">
        <v>81</v>
      </c>
      <c r="P12" s="2">
        <v>1</v>
      </c>
    </row>
    <row r="13" spans="1:22" ht="24" customHeight="1" x14ac:dyDescent="0.35">
      <c r="A13" s="50" t="s">
        <v>82</v>
      </c>
      <c r="B13" s="10" t="s">
        <v>83</v>
      </c>
      <c r="C13" s="12"/>
      <c r="D13" s="12"/>
      <c r="E13" s="12"/>
      <c r="F13" s="12"/>
      <c r="G13" s="12"/>
      <c r="H13" s="12"/>
      <c r="I13" s="12"/>
      <c r="J13" s="12">
        <v>1</v>
      </c>
      <c r="K13" s="12">
        <v>1</v>
      </c>
      <c r="L13" s="12"/>
      <c r="M13" s="12">
        <v>1</v>
      </c>
      <c r="N13" s="12"/>
      <c r="O13" s="12"/>
      <c r="P13" s="12"/>
      <c r="Q13" s="12"/>
      <c r="R13" s="12"/>
      <c r="S13" s="12"/>
      <c r="T13" s="12"/>
      <c r="U13" s="12"/>
      <c r="V13" s="12"/>
    </row>
    <row r="14" spans="1:22" ht="30" customHeight="1" x14ac:dyDescent="0.35">
      <c r="A14" s="50" t="s">
        <v>84</v>
      </c>
      <c r="B14" s="10" t="s">
        <v>85</v>
      </c>
      <c r="C14" s="2"/>
      <c r="D14" s="2"/>
      <c r="E14" s="2"/>
      <c r="F14" s="2"/>
      <c r="G14" s="2"/>
      <c r="H14" s="2"/>
      <c r="I14" s="2"/>
      <c r="J14" s="2"/>
      <c r="K14" s="2"/>
      <c r="L14" s="2"/>
      <c r="M14" s="2"/>
      <c r="N14" s="2"/>
      <c r="O14" s="2"/>
      <c r="P14" s="2"/>
      <c r="Q14" s="2"/>
      <c r="R14" s="2"/>
      <c r="S14" s="2">
        <v>1</v>
      </c>
      <c r="T14" s="2"/>
      <c r="U14" s="2"/>
      <c r="V14" s="2"/>
    </row>
    <row r="15" spans="1:22" ht="21.5" customHeight="1" x14ac:dyDescent="0.35">
      <c r="A15" s="50" t="s">
        <v>86</v>
      </c>
      <c r="B15" s="54" t="s">
        <v>87</v>
      </c>
      <c r="C15" s="2"/>
      <c r="D15" s="2"/>
      <c r="E15" s="2"/>
      <c r="F15" s="2"/>
      <c r="G15" s="2"/>
      <c r="H15" s="2"/>
      <c r="I15" s="2"/>
      <c r="J15" s="2"/>
      <c r="K15" s="2"/>
      <c r="L15" s="2"/>
      <c r="M15" s="2"/>
      <c r="N15" s="2"/>
      <c r="O15" s="2"/>
      <c r="P15" s="2"/>
      <c r="Q15" s="2">
        <v>1</v>
      </c>
      <c r="R15" s="2"/>
      <c r="S15" s="2"/>
      <c r="T15" s="2"/>
      <c r="U15" s="2"/>
      <c r="V15" s="2"/>
    </row>
    <row r="16" spans="1:22" ht="28" customHeight="1" x14ac:dyDescent="0.35">
      <c r="A16" s="50" t="s">
        <v>88</v>
      </c>
      <c r="B16" s="10" t="s">
        <v>89</v>
      </c>
      <c r="C16" s="12"/>
      <c r="D16" s="12"/>
      <c r="E16" s="12"/>
      <c r="F16" s="12"/>
      <c r="G16" s="12"/>
      <c r="H16" s="12"/>
      <c r="I16" s="12"/>
      <c r="J16" s="12"/>
      <c r="K16" s="12"/>
      <c r="L16" s="12"/>
      <c r="M16" s="12"/>
      <c r="N16" s="12"/>
      <c r="O16" s="12"/>
      <c r="P16" s="12"/>
      <c r="Q16" s="12"/>
      <c r="R16" s="12">
        <v>1</v>
      </c>
      <c r="S16" s="12"/>
      <c r="T16" s="12"/>
      <c r="U16" s="12"/>
      <c r="V16" s="12"/>
    </row>
  </sheetData>
  <pageMargins left="0.7" right="0.7" top="0.75" bottom="0.75" header="0.3" footer="0.3"/>
  <tableParts count="1">
    <tablePart r:id="rId1"/>
  </tablePart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2"/>
  <dimension ref="A2:V8"/>
  <sheetViews>
    <sheetView workbookViewId="0">
      <selection activeCell="B8" sqref="B3:B8"/>
    </sheetView>
  </sheetViews>
  <sheetFormatPr defaultColWidth="6.453125" defaultRowHeight="14.5" x14ac:dyDescent="0.35"/>
  <cols>
    <col min="2" max="2" width="25.36328125" customWidth="1"/>
    <col min="4" max="4" width="10.08984375" customWidth="1"/>
    <col min="5" max="5" width="12.81640625" customWidth="1"/>
    <col min="6" max="6" width="8.453125" customWidth="1"/>
    <col min="8" max="8" width="7.90625" customWidth="1"/>
    <col min="9" max="9" width="10.6328125" customWidth="1"/>
    <col min="10" max="10" width="14.08984375" customWidth="1"/>
    <col min="11" max="11" width="8.81640625" customWidth="1"/>
    <col min="12" max="12" width="9.36328125" customWidth="1"/>
    <col min="13" max="13" width="8.26953125" customWidth="1"/>
    <col min="15" max="15" width="7.6328125" customWidth="1"/>
    <col min="16" max="17" width="7.54296875" customWidth="1"/>
    <col min="18" max="18" width="6.90625" customWidth="1"/>
    <col min="19" max="19" width="7" customWidth="1"/>
    <col min="21" max="21" width="8.453125" customWidth="1"/>
    <col min="22" max="22" width="6.7265625" customWidth="1"/>
  </cols>
  <sheetData>
    <row r="2" spans="1:22" x14ac:dyDescent="0.35">
      <c r="A2" s="2" t="s">
        <v>118</v>
      </c>
      <c r="B2" s="3" t="s">
        <v>29</v>
      </c>
      <c r="C2" s="43" t="s">
        <v>0</v>
      </c>
      <c r="D2" s="43" t="s">
        <v>1</v>
      </c>
      <c r="E2" s="43" t="s">
        <v>2</v>
      </c>
      <c r="F2" s="43" t="s">
        <v>3</v>
      </c>
      <c r="G2" s="43" t="s">
        <v>4</v>
      </c>
      <c r="H2" s="43" t="s">
        <v>5</v>
      </c>
      <c r="I2" s="43" t="s">
        <v>6</v>
      </c>
      <c r="J2" s="43" t="s">
        <v>7</v>
      </c>
      <c r="K2" s="43" t="s">
        <v>8</v>
      </c>
      <c r="L2" s="43" t="s">
        <v>9</v>
      </c>
      <c r="M2" s="43" t="s">
        <v>10</v>
      </c>
      <c r="N2" s="43" t="s">
        <v>11</v>
      </c>
      <c r="O2" s="43" t="s">
        <v>12</v>
      </c>
      <c r="P2" s="43" t="s">
        <v>13</v>
      </c>
      <c r="Q2" s="43" t="s">
        <v>14</v>
      </c>
      <c r="R2" s="43" t="s">
        <v>15</v>
      </c>
      <c r="S2" s="43" t="s">
        <v>16</v>
      </c>
      <c r="T2" s="43" t="s">
        <v>17</v>
      </c>
      <c r="U2" s="43" t="s">
        <v>18</v>
      </c>
      <c r="V2" s="43" t="s">
        <v>19</v>
      </c>
    </row>
    <row r="3" spans="1:22" ht="23" customHeight="1" x14ac:dyDescent="0.35">
      <c r="A3" s="50" t="s">
        <v>91</v>
      </c>
      <c r="B3" s="10" t="s">
        <v>92</v>
      </c>
      <c r="C3" s="51"/>
      <c r="D3" s="12">
        <v>1</v>
      </c>
      <c r="E3" s="12">
        <v>1</v>
      </c>
      <c r="F3" s="51"/>
      <c r="G3" s="51"/>
      <c r="H3" s="51"/>
      <c r="I3" s="12" t="s">
        <v>44</v>
      </c>
      <c r="J3" s="51"/>
      <c r="K3" s="51"/>
      <c r="L3" s="51"/>
      <c r="M3" s="51"/>
      <c r="N3" s="51"/>
      <c r="O3" s="51"/>
      <c r="P3" s="51"/>
      <c r="Q3" s="51"/>
      <c r="R3" s="51"/>
      <c r="S3" s="51"/>
      <c r="T3" s="51"/>
      <c r="U3" s="51"/>
      <c r="V3" s="51"/>
    </row>
    <row r="4" spans="1:22" ht="25" customHeight="1" x14ac:dyDescent="0.35">
      <c r="A4" s="50" t="s">
        <v>93</v>
      </c>
      <c r="B4" s="10" t="s">
        <v>94</v>
      </c>
      <c r="C4" s="51"/>
      <c r="D4" s="12">
        <v>1</v>
      </c>
      <c r="E4" s="12">
        <v>1</v>
      </c>
      <c r="F4" s="51"/>
      <c r="G4" s="51"/>
      <c r="H4" s="51"/>
      <c r="I4" s="12"/>
      <c r="J4" s="51"/>
      <c r="K4" s="51"/>
      <c r="L4" s="51"/>
      <c r="M4" s="51"/>
      <c r="N4" s="51"/>
      <c r="O4" s="51"/>
      <c r="P4" s="51"/>
      <c r="Q4" s="51"/>
      <c r="R4" s="51"/>
      <c r="S4" s="51"/>
      <c r="T4" s="51"/>
      <c r="U4" s="51"/>
      <c r="V4" s="51"/>
    </row>
    <row r="5" spans="1:22" ht="22" customHeight="1" x14ac:dyDescent="0.35">
      <c r="A5" s="50" t="s">
        <v>95</v>
      </c>
      <c r="B5" s="10" t="s">
        <v>96</v>
      </c>
      <c r="C5" s="12">
        <v>1</v>
      </c>
      <c r="D5" s="51"/>
      <c r="E5" s="51"/>
      <c r="F5" s="51"/>
      <c r="G5" s="12">
        <v>1</v>
      </c>
      <c r="H5" s="51"/>
      <c r="I5" s="12"/>
      <c r="J5" s="12">
        <v>1</v>
      </c>
      <c r="K5" s="12">
        <v>1</v>
      </c>
      <c r="L5" s="12">
        <v>1</v>
      </c>
      <c r="M5" s="12">
        <v>1</v>
      </c>
      <c r="N5" s="51"/>
      <c r="O5" s="12">
        <v>1</v>
      </c>
      <c r="P5" s="12">
        <v>1</v>
      </c>
      <c r="Q5" s="51"/>
      <c r="R5" s="12">
        <v>1</v>
      </c>
      <c r="S5" s="51"/>
      <c r="T5" s="51"/>
      <c r="U5" s="12">
        <v>1</v>
      </c>
      <c r="V5" s="12">
        <v>1</v>
      </c>
    </row>
    <row r="6" spans="1:22" ht="22" customHeight="1" x14ac:dyDescent="0.35">
      <c r="A6" s="50" t="s">
        <v>97</v>
      </c>
      <c r="B6" s="10" t="s">
        <v>98</v>
      </c>
      <c r="C6" s="51"/>
      <c r="D6" s="51"/>
      <c r="E6" s="51"/>
      <c r="F6" s="12">
        <v>1</v>
      </c>
      <c r="G6" s="51"/>
      <c r="H6" s="12">
        <v>1</v>
      </c>
      <c r="I6" s="12"/>
      <c r="J6" s="51"/>
      <c r="K6" s="51"/>
      <c r="L6" s="51"/>
      <c r="M6" s="51"/>
      <c r="N6" s="51"/>
      <c r="O6" s="51"/>
      <c r="P6" s="51"/>
      <c r="Q6" s="51"/>
      <c r="R6" s="51"/>
      <c r="S6" s="12">
        <v>1</v>
      </c>
      <c r="T6" s="51"/>
      <c r="U6" s="51"/>
      <c r="V6" s="51"/>
    </row>
    <row r="7" spans="1:22" ht="22.5" customHeight="1" x14ac:dyDescent="0.35">
      <c r="A7" s="50" t="s">
        <v>99</v>
      </c>
      <c r="B7" s="10" t="s">
        <v>100</v>
      </c>
      <c r="C7" s="12"/>
      <c r="D7" s="12"/>
      <c r="E7" s="12"/>
      <c r="F7" s="12"/>
      <c r="G7" s="12"/>
      <c r="H7" s="12"/>
      <c r="I7" s="12"/>
      <c r="J7" s="12"/>
      <c r="K7" s="12"/>
      <c r="L7" s="12"/>
      <c r="M7" s="12"/>
      <c r="N7" s="12">
        <v>1</v>
      </c>
      <c r="O7" s="12"/>
      <c r="P7" s="12"/>
      <c r="Q7" s="12"/>
      <c r="R7" s="12"/>
      <c r="S7" s="12"/>
      <c r="T7" s="12"/>
      <c r="U7" s="12"/>
      <c r="V7" s="12"/>
    </row>
    <row r="8" spans="1:22" ht="18.5" customHeight="1" x14ac:dyDescent="0.35">
      <c r="A8" s="50" t="s">
        <v>101</v>
      </c>
      <c r="B8" s="10" t="s">
        <v>102</v>
      </c>
      <c r="C8" s="51"/>
      <c r="D8" s="51"/>
      <c r="E8" s="51"/>
      <c r="F8" s="51"/>
      <c r="G8" s="51"/>
      <c r="H8" s="51"/>
      <c r="I8" s="12"/>
      <c r="J8" s="51"/>
      <c r="K8" s="51"/>
      <c r="L8" s="51"/>
      <c r="M8" s="51"/>
      <c r="N8" s="51"/>
      <c r="O8" s="51"/>
      <c r="P8" s="51"/>
      <c r="Q8" s="12">
        <v>1</v>
      </c>
      <c r="R8" s="51"/>
      <c r="S8" s="51"/>
      <c r="T8" s="51"/>
      <c r="U8" s="51"/>
      <c r="V8" s="51"/>
    </row>
  </sheetData>
  <pageMargins left="0.7" right="0.7" top="0.75" bottom="0.75" header="0.3" footer="0.3"/>
  <tableParts count="1">
    <tablePart r:id="rId1"/>
  </tablePart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3"/>
  <dimension ref="A2:V5"/>
  <sheetViews>
    <sheetView topLeftCell="K1" workbookViewId="0">
      <selection activeCell="B3" sqref="B3:B5"/>
    </sheetView>
  </sheetViews>
  <sheetFormatPr defaultColWidth="5.6328125" defaultRowHeight="14.5" x14ac:dyDescent="0.35"/>
  <cols>
    <col min="2" max="2" width="23" customWidth="1"/>
    <col min="3" max="3" width="6.08984375" customWidth="1"/>
    <col min="4" max="4" width="10.08984375" customWidth="1"/>
    <col min="5" max="5" width="12.81640625" customWidth="1"/>
    <col min="6" max="6" width="8.453125" customWidth="1"/>
    <col min="7" max="7" width="6.08984375" customWidth="1"/>
    <col min="8" max="8" width="7.90625" customWidth="1"/>
    <col min="9" max="9" width="10.6328125" customWidth="1"/>
    <col min="10" max="10" width="14.08984375" customWidth="1"/>
    <col min="11" max="11" width="8.81640625" customWidth="1"/>
    <col min="12" max="12" width="9.36328125" customWidth="1"/>
    <col min="13" max="13" width="8.26953125" customWidth="1"/>
    <col min="14" max="14" width="6.08984375" customWidth="1"/>
    <col min="15" max="15" width="7.6328125" customWidth="1"/>
    <col min="16" max="17" width="7.54296875" customWidth="1"/>
    <col min="18" max="18" width="6.90625" customWidth="1"/>
    <col min="19" max="19" width="7" customWidth="1"/>
    <col min="20" max="20" width="6" customWidth="1"/>
    <col min="21" max="21" width="8.453125" customWidth="1"/>
    <col min="22" max="22" width="6.7265625" customWidth="1"/>
  </cols>
  <sheetData>
    <row r="2" spans="1:22" x14ac:dyDescent="0.35">
      <c r="A2" s="2" t="s">
        <v>118</v>
      </c>
      <c r="B2" s="3" t="s">
        <v>30</v>
      </c>
      <c r="C2" s="43" t="s">
        <v>0</v>
      </c>
      <c r="D2" s="43" t="s">
        <v>1</v>
      </c>
      <c r="E2" s="43" t="s">
        <v>2</v>
      </c>
      <c r="F2" s="43" t="s">
        <v>3</v>
      </c>
      <c r="G2" s="43" t="s">
        <v>4</v>
      </c>
      <c r="H2" s="43" t="s">
        <v>5</v>
      </c>
      <c r="I2" s="43" t="s">
        <v>6</v>
      </c>
      <c r="J2" s="43" t="s">
        <v>7</v>
      </c>
      <c r="K2" s="43" t="s">
        <v>8</v>
      </c>
      <c r="L2" s="43" t="s">
        <v>9</v>
      </c>
      <c r="M2" s="43" t="s">
        <v>10</v>
      </c>
      <c r="N2" s="43" t="s">
        <v>11</v>
      </c>
      <c r="O2" s="43" t="s">
        <v>12</v>
      </c>
      <c r="P2" s="43" t="s">
        <v>13</v>
      </c>
      <c r="Q2" s="43" t="s">
        <v>14</v>
      </c>
      <c r="R2" s="43" t="s">
        <v>15</v>
      </c>
      <c r="S2" s="43" t="s">
        <v>16</v>
      </c>
      <c r="T2" s="43" t="s">
        <v>17</v>
      </c>
      <c r="U2" s="43" t="s">
        <v>18</v>
      </c>
      <c r="V2" s="43" t="s">
        <v>19</v>
      </c>
    </row>
    <row r="3" spans="1:22" ht="36" customHeight="1" x14ac:dyDescent="0.35">
      <c r="A3" s="50" t="s">
        <v>141</v>
      </c>
      <c r="B3" s="10" t="s">
        <v>103</v>
      </c>
      <c r="C3" s="51"/>
      <c r="D3" s="12">
        <v>1</v>
      </c>
      <c r="E3" s="12">
        <v>1</v>
      </c>
      <c r="F3" s="51"/>
      <c r="G3" s="51"/>
      <c r="H3" s="51"/>
      <c r="I3" s="12"/>
      <c r="J3" s="51"/>
      <c r="K3" s="51"/>
      <c r="L3" s="51"/>
      <c r="M3" s="51"/>
      <c r="N3" s="51"/>
      <c r="O3" s="51"/>
      <c r="P3" s="51"/>
      <c r="Q3" s="51"/>
      <c r="R3" s="51"/>
      <c r="S3" s="51"/>
      <c r="T3" s="51"/>
      <c r="U3" s="51"/>
      <c r="V3" s="51"/>
    </row>
    <row r="4" spans="1:22" ht="27" customHeight="1" x14ac:dyDescent="0.35">
      <c r="A4" s="50" t="s">
        <v>142</v>
      </c>
      <c r="B4" s="10" t="s">
        <v>104</v>
      </c>
      <c r="C4" s="12">
        <v>1</v>
      </c>
      <c r="D4" s="51"/>
      <c r="E4" s="51"/>
      <c r="F4" s="51"/>
      <c r="G4" s="12">
        <v>1</v>
      </c>
      <c r="H4" s="51"/>
      <c r="I4" s="12">
        <v>1</v>
      </c>
      <c r="J4" s="12">
        <v>1</v>
      </c>
      <c r="K4" s="12">
        <v>1</v>
      </c>
      <c r="L4" s="12">
        <v>1</v>
      </c>
      <c r="M4" s="12">
        <v>1</v>
      </c>
      <c r="N4" s="51"/>
      <c r="O4" s="12">
        <v>1</v>
      </c>
      <c r="P4" s="12">
        <v>1</v>
      </c>
      <c r="Q4" s="12">
        <v>1</v>
      </c>
      <c r="R4" s="12">
        <v>1</v>
      </c>
      <c r="S4" s="51"/>
      <c r="T4" s="51"/>
      <c r="U4" s="51"/>
      <c r="V4" s="12">
        <v>1</v>
      </c>
    </row>
    <row r="5" spans="1:22" ht="23.5" customHeight="1" x14ac:dyDescent="0.35">
      <c r="A5" s="50" t="s">
        <v>143</v>
      </c>
      <c r="B5" s="10" t="s">
        <v>105</v>
      </c>
      <c r="C5" s="51"/>
      <c r="D5" s="51"/>
      <c r="E5" s="51"/>
      <c r="F5" s="12">
        <v>1</v>
      </c>
      <c r="G5" s="51"/>
      <c r="H5" s="12">
        <v>1</v>
      </c>
      <c r="I5" s="51"/>
      <c r="J5" s="12"/>
      <c r="K5" s="12"/>
      <c r="L5" s="51"/>
      <c r="M5" s="51"/>
      <c r="N5" s="12">
        <v>1</v>
      </c>
      <c r="O5" s="51"/>
      <c r="P5" s="51"/>
      <c r="Q5" s="51"/>
      <c r="R5" s="51"/>
      <c r="S5" s="12">
        <v>1</v>
      </c>
      <c r="T5" s="51"/>
      <c r="U5" s="51"/>
      <c r="V5" s="51"/>
    </row>
  </sheetData>
  <pageMargins left="0.7" right="0.7" top="0.75" bottom="0.75" header="0.3" footer="0.3"/>
  <tableParts count="1">
    <tablePart r:id="rId1"/>
  </tablePart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4"/>
  <dimension ref="A2:V5"/>
  <sheetViews>
    <sheetView workbookViewId="0">
      <selection activeCell="E7" sqref="E7"/>
    </sheetView>
  </sheetViews>
  <sheetFormatPr defaultColWidth="5.81640625" defaultRowHeight="14.5" x14ac:dyDescent="0.35"/>
  <cols>
    <col min="2" max="2" width="16.7265625" customWidth="1"/>
    <col min="3" max="3" width="6.26953125" customWidth="1"/>
    <col min="4" max="4" width="10.26953125" customWidth="1"/>
    <col min="5" max="5" width="13.08984375" customWidth="1"/>
    <col min="6" max="6" width="8.54296875" customWidth="1"/>
    <col min="7" max="7" width="6.1796875" customWidth="1"/>
    <col min="8" max="8" width="8.36328125" customWidth="1"/>
    <col min="9" max="9" width="10.81640625" customWidth="1"/>
    <col min="10" max="10" width="14.7265625" customWidth="1"/>
    <col min="11" max="11" width="9.26953125" customWidth="1"/>
    <col min="12" max="12" width="9.54296875" customWidth="1"/>
    <col min="13" max="13" width="8.6328125" customWidth="1"/>
    <col min="14" max="14" width="6.1796875" customWidth="1"/>
    <col min="15" max="17" width="7.7265625" customWidth="1"/>
    <col min="18" max="18" width="7" customWidth="1"/>
    <col min="19" max="19" width="7.08984375" customWidth="1"/>
    <col min="20" max="20" width="6.1796875" customWidth="1"/>
    <col min="21" max="21" width="8.6328125" customWidth="1"/>
    <col min="22" max="22" width="6.81640625" customWidth="1"/>
  </cols>
  <sheetData>
    <row r="2" spans="1:22" x14ac:dyDescent="0.35">
      <c r="A2" s="2" t="s">
        <v>118</v>
      </c>
      <c r="B2" s="3" t="s">
        <v>31</v>
      </c>
      <c r="C2" s="43" t="s">
        <v>0</v>
      </c>
      <c r="D2" s="43" t="s">
        <v>1</v>
      </c>
      <c r="E2" s="43" t="s">
        <v>2</v>
      </c>
      <c r="F2" s="43" t="s">
        <v>3</v>
      </c>
      <c r="G2" s="43" t="s">
        <v>4</v>
      </c>
      <c r="H2" s="43" t="s">
        <v>5</v>
      </c>
      <c r="I2" s="43" t="s">
        <v>6</v>
      </c>
      <c r="J2" s="43" t="s">
        <v>7</v>
      </c>
      <c r="K2" s="43" t="s">
        <v>8</v>
      </c>
      <c r="L2" s="43" t="s">
        <v>9</v>
      </c>
      <c r="M2" s="43" t="s">
        <v>10</v>
      </c>
      <c r="N2" s="43" t="s">
        <v>11</v>
      </c>
      <c r="O2" s="43" t="s">
        <v>12</v>
      </c>
      <c r="P2" s="43" t="s">
        <v>13</v>
      </c>
      <c r="Q2" s="43" t="s">
        <v>14</v>
      </c>
      <c r="R2" s="43" t="s">
        <v>15</v>
      </c>
      <c r="S2" s="43" t="s">
        <v>16</v>
      </c>
      <c r="T2" s="43" t="s">
        <v>17</v>
      </c>
      <c r="U2" s="43" t="s">
        <v>18</v>
      </c>
      <c r="V2" s="43" t="s">
        <v>19</v>
      </c>
    </row>
    <row r="3" spans="1:22" x14ac:dyDescent="0.35">
      <c r="A3" s="50" t="s">
        <v>144</v>
      </c>
      <c r="B3" s="10" t="s">
        <v>108</v>
      </c>
      <c r="C3" s="12"/>
      <c r="D3" s="12">
        <v>1</v>
      </c>
      <c r="E3" s="12"/>
      <c r="F3" s="12">
        <v>1</v>
      </c>
      <c r="G3" s="12"/>
      <c r="H3" s="12">
        <v>1</v>
      </c>
      <c r="I3" s="12">
        <v>1</v>
      </c>
      <c r="J3" s="12">
        <v>1</v>
      </c>
      <c r="K3" s="12">
        <v>1</v>
      </c>
      <c r="L3" s="12">
        <v>1</v>
      </c>
      <c r="M3" s="12">
        <v>1</v>
      </c>
      <c r="N3" s="12">
        <v>1</v>
      </c>
      <c r="O3" s="12">
        <v>1</v>
      </c>
      <c r="P3" s="12">
        <v>1</v>
      </c>
      <c r="Q3" s="12">
        <v>1</v>
      </c>
      <c r="R3" s="12">
        <v>1</v>
      </c>
      <c r="S3" s="12">
        <v>1</v>
      </c>
      <c r="T3" s="12"/>
      <c r="U3" s="12">
        <v>1</v>
      </c>
      <c r="V3" s="12">
        <v>1</v>
      </c>
    </row>
    <row r="4" spans="1:22" x14ac:dyDescent="0.35">
      <c r="A4" s="50" t="s">
        <v>145</v>
      </c>
      <c r="B4" s="10" t="s">
        <v>106</v>
      </c>
      <c r="C4" s="12">
        <v>1</v>
      </c>
      <c r="D4" s="12">
        <v>1</v>
      </c>
      <c r="E4" s="12">
        <v>1</v>
      </c>
      <c r="F4" s="12">
        <v>1</v>
      </c>
      <c r="G4" s="12">
        <v>1</v>
      </c>
      <c r="H4" s="12"/>
      <c r="I4" s="12">
        <v>1</v>
      </c>
      <c r="J4" s="12"/>
      <c r="K4" s="12"/>
      <c r="L4" s="12"/>
      <c r="M4" s="12"/>
      <c r="N4" s="12"/>
      <c r="O4" s="12"/>
      <c r="P4" s="12">
        <v>1</v>
      </c>
      <c r="Q4" s="12"/>
      <c r="R4" s="12"/>
      <c r="S4" s="12"/>
      <c r="T4" s="12"/>
      <c r="U4" s="12"/>
      <c r="V4" s="12"/>
    </row>
    <row r="5" spans="1:22" x14ac:dyDescent="0.35">
      <c r="A5" s="50" t="s">
        <v>146</v>
      </c>
      <c r="B5" s="10" t="s">
        <v>107</v>
      </c>
      <c r="C5" s="12"/>
      <c r="D5" s="12">
        <v>1</v>
      </c>
      <c r="E5" s="12"/>
      <c r="F5" s="12"/>
      <c r="G5" s="12">
        <v>1</v>
      </c>
      <c r="H5" s="12"/>
      <c r="I5" s="12"/>
      <c r="J5" s="12"/>
      <c r="K5" s="12"/>
      <c r="L5" s="12"/>
      <c r="M5" s="12"/>
      <c r="N5" s="12"/>
      <c r="O5" s="12"/>
      <c r="P5" s="12"/>
      <c r="Q5" s="12"/>
      <c r="R5" s="12"/>
      <c r="S5" s="12"/>
      <c r="T5" s="12"/>
      <c r="U5" s="12"/>
      <c r="V5" s="12"/>
    </row>
  </sheetData>
  <dataValidations count="1">
    <dataValidation type="list" allowBlank="1" showInputMessage="1" showErrorMessage="1" sqref="B2:B5">
      <formula1>Structure_of_criteria</formula1>
    </dataValidation>
  </dataValidations>
  <pageMargins left="0.7" right="0.7" top="0.75" bottom="0.75" header="0.3" footer="0.3"/>
  <tableParts count="1">
    <tablePart r:id="rId1"/>
  </tableParts>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5"/>
  <dimension ref="A2:V4"/>
  <sheetViews>
    <sheetView workbookViewId="0">
      <selection activeCell="B3" sqref="B3:B4"/>
    </sheetView>
  </sheetViews>
  <sheetFormatPr defaultColWidth="5.90625" defaultRowHeight="14.5" x14ac:dyDescent="0.35"/>
  <cols>
    <col min="1" max="1" width="11.08984375" customWidth="1"/>
    <col min="2" max="2" width="17.08984375" customWidth="1"/>
    <col min="3" max="3" width="6.26953125" customWidth="1"/>
    <col min="4" max="4" width="10.26953125" customWidth="1"/>
    <col min="5" max="5" width="13.08984375" customWidth="1"/>
    <col min="6" max="6" width="8.54296875" customWidth="1"/>
    <col min="7" max="7" width="6.1796875" customWidth="1"/>
    <col min="8" max="8" width="8.36328125" customWidth="1"/>
    <col min="9" max="9" width="10.81640625" customWidth="1"/>
    <col min="10" max="10" width="14.7265625" customWidth="1"/>
    <col min="11" max="11" width="9.26953125" customWidth="1"/>
    <col min="12" max="12" width="9.54296875" customWidth="1"/>
    <col min="13" max="13" width="8.6328125" customWidth="1"/>
    <col min="14" max="14" width="6.1796875" customWidth="1"/>
    <col min="15" max="17" width="7.7265625" customWidth="1"/>
    <col min="18" max="18" width="7" customWidth="1"/>
    <col min="19" max="19" width="7.08984375" customWidth="1"/>
    <col min="20" max="20" width="6.1796875" customWidth="1"/>
    <col min="21" max="21" width="8.6328125" customWidth="1"/>
    <col min="22" max="22" width="6.81640625" customWidth="1"/>
  </cols>
  <sheetData>
    <row r="2" spans="1:22" x14ac:dyDescent="0.35">
      <c r="A2" s="24" t="s">
        <v>118</v>
      </c>
      <c r="B2" s="3" t="s">
        <v>32</v>
      </c>
      <c r="C2" s="43" t="s">
        <v>0</v>
      </c>
      <c r="D2" s="43" t="s">
        <v>1</v>
      </c>
      <c r="E2" s="43" t="s">
        <v>2</v>
      </c>
      <c r="F2" s="43" t="s">
        <v>3</v>
      </c>
      <c r="G2" s="43" t="s">
        <v>4</v>
      </c>
      <c r="H2" s="43" t="s">
        <v>5</v>
      </c>
      <c r="I2" s="43" t="s">
        <v>6</v>
      </c>
      <c r="J2" s="43" t="s">
        <v>7</v>
      </c>
      <c r="K2" s="43" t="s">
        <v>8</v>
      </c>
      <c r="L2" s="43" t="s">
        <v>9</v>
      </c>
      <c r="M2" s="43" t="s">
        <v>10</v>
      </c>
      <c r="N2" s="43" t="s">
        <v>11</v>
      </c>
      <c r="O2" s="43" t="s">
        <v>12</v>
      </c>
      <c r="P2" s="43" t="s">
        <v>13</v>
      </c>
      <c r="Q2" s="43" t="s">
        <v>14</v>
      </c>
      <c r="R2" s="43" t="s">
        <v>15</v>
      </c>
      <c r="S2" s="43" t="s">
        <v>16</v>
      </c>
      <c r="T2" s="43" t="s">
        <v>17</v>
      </c>
      <c r="U2" s="43" t="s">
        <v>18</v>
      </c>
      <c r="V2" s="43" t="s">
        <v>19</v>
      </c>
    </row>
    <row r="3" spans="1:22" x14ac:dyDescent="0.35">
      <c r="A3" s="50" t="s">
        <v>147</v>
      </c>
      <c r="B3" s="10" t="s">
        <v>109</v>
      </c>
      <c r="C3" s="51"/>
      <c r="D3" s="51"/>
      <c r="E3" s="51"/>
      <c r="F3" s="51"/>
      <c r="G3" s="51"/>
      <c r="H3" s="12">
        <v>1</v>
      </c>
      <c r="I3" s="12">
        <v>1</v>
      </c>
      <c r="J3" s="12">
        <v>1</v>
      </c>
      <c r="K3" s="12">
        <v>1</v>
      </c>
      <c r="L3" s="12">
        <v>1</v>
      </c>
      <c r="M3" s="12">
        <v>1</v>
      </c>
      <c r="N3" s="51"/>
      <c r="O3" s="51"/>
      <c r="P3" s="51"/>
      <c r="Q3" s="12">
        <v>1</v>
      </c>
      <c r="R3" s="12">
        <v>1</v>
      </c>
      <c r="S3" s="12">
        <v>1</v>
      </c>
      <c r="T3" s="51"/>
      <c r="U3" s="51"/>
      <c r="V3" s="12">
        <v>1</v>
      </c>
    </row>
    <row r="4" spans="1:22" x14ac:dyDescent="0.35">
      <c r="A4" s="50" t="s">
        <v>148</v>
      </c>
      <c r="B4" s="10" t="s">
        <v>110</v>
      </c>
      <c r="C4" s="12">
        <v>1</v>
      </c>
      <c r="D4" s="12">
        <v>1</v>
      </c>
      <c r="E4" s="12">
        <v>1</v>
      </c>
      <c r="F4" s="12">
        <v>1</v>
      </c>
      <c r="G4" s="12">
        <v>1</v>
      </c>
      <c r="H4" s="51"/>
      <c r="I4" s="51"/>
      <c r="J4" s="51"/>
      <c r="K4" s="51"/>
      <c r="L4" s="51"/>
      <c r="M4" s="51"/>
      <c r="N4" s="12">
        <v>1</v>
      </c>
      <c r="O4" s="12">
        <v>1</v>
      </c>
      <c r="P4" s="12">
        <v>1</v>
      </c>
      <c r="Q4" s="51"/>
      <c r="R4" s="51"/>
      <c r="S4" s="51"/>
      <c r="T4" s="51"/>
      <c r="U4" s="12">
        <v>1</v>
      </c>
      <c r="V4" s="51"/>
    </row>
  </sheetData>
  <pageMargins left="0.7" right="0.7" top="0.75" bottom="0.75" header="0.3" footer="0.3"/>
  <tableParts count="1">
    <tablePart r:id="rId1"/>
  </tableParts>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6"/>
  <dimension ref="A1:V5"/>
  <sheetViews>
    <sheetView workbookViewId="0">
      <selection activeCell="B2" sqref="B2:B5"/>
    </sheetView>
  </sheetViews>
  <sheetFormatPr defaultColWidth="6.1796875" defaultRowHeight="14.5" x14ac:dyDescent="0.35"/>
  <cols>
    <col min="1" max="1" width="6.1796875" style="19"/>
    <col min="2" max="2" width="27.453125" customWidth="1"/>
    <col min="3" max="3" width="6.26953125" customWidth="1"/>
    <col min="4" max="4" width="10.26953125" customWidth="1"/>
    <col min="5" max="5" width="13.08984375" customWidth="1"/>
    <col min="6" max="6" width="8.54296875" customWidth="1"/>
    <col min="8" max="8" width="8.36328125" customWidth="1"/>
    <col min="9" max="9" width="10.81640625" customWidth="1"/>
    <col min="10" max="10" width="14.7265625" customWidth="1"/>
    <col min="11" max="11" width="9.26953125" customWidth="1"/>
    <col min="12" max="12" width="9.54296875" customWidth="1"/>
    <col min="13" max="13" width="8.6328125" customWidth="1"/>
    <col min="15" max="17" width="7.7265625" customWidth="1"/>
    <col min="18" max="18" width="7" customWidth="1"/>
    <col min="19" max="19" width="7.08984375" customWidth="1"/>
    <col min="21" max="21" width="8.6328125" customWidth="1"/>
    <col min="22" max="22" width="6.81640625" customWidth="1"/>
  </cols>
  <sheetData>
    <row r="1" spans="1:22" ht="15" thickBot="1" x14ac:dyDescent="0.4"/>
    <row r="2" spans="1:22" ht="23.5" thickBot="1" x14ac:dyDescent="0.4">
      <c r="A2" s="19" t="s">
        <v>118</v>
      </c>
      <c r="B2" s="13" t="s">
        <v>33</v>
      </c>
      <c r="C2" s="46" t="s">
        <v>0</v>
      </c>
      <c r="D2" s="47" t="s">
        <v>1</v>
      </c>
      <c r="E2" s="47" t="s">
        <v>2</v>
      </c>
      <c r="F2" s="47" t="s">
        <v>3</v>
      </c>
      <c r="G2" s="47" t="s">
        <v>4</v>
      </c>
      <c r="H2" s="47" t="s">
        <v>5</v>
      </c>
      <c r="I2" s="47" t="s">
        <v>6</v>
      </c>
      <c r="J2" s="47" t="s">
        <v>7</v>
      </c>
      <c r="K2" s="47" t="s">
        <v>8</v>
      </c>
      <c r="L2" s="47" t="s">
        <v>9</v>
      </c>
      <c r="M2" s="47" t="s">
        <v>10</v>
      </c>
      <c r="N2" s="47" t="s">
        <v>11</v>
      </c>
      <c r="O2" s="47" t="s">
        <v>12</v>
      </c>
      <c r="P2" s="47" t="s">
        <v>13</v>
      </c>
      <c r="Q2" s="47" t="s">
        <v>14</v>
      </c>
      <c r="R2" s="47" t="s">
        <v>15</v>
      </c>
      <c r="S2" s="47" t="s">
        <v>16</v>
      </c>
      <c r="T2" s="47" t="s">
        <v>17</v>
      </c>
      <c r="U2" s="47" t="s">
        <v>18</v>
      </c>
      <c r="V2" s="47" t="s">
        <v>19</v>
      </c>
    </row>
    <row r="3" spans="1:22" ht="15" thickBot="1" x14ac:dyDescent="0.4">
      <c r="A3" s="23" t="s">
        <v>149</v>
      </c>
      <c r="B3" s="11" t="s">
        <v>111</v>
      </c>
      <c r="C3" s="14"/>
      <c r="D3" s="14"/>
      <c r="E3" s="14"/>
      <c r="F3" s="14"/>
      <c r="G3" s="14"/>
      <c r="H3" s="14"/>
      <c r="I3" s="14"/>
      <c r="J3" s="14"/>
      <c r="K3" s="15">
        <v>1</v>
      </c>
      <c r="L3" s="15">
        <v>1</v>
      </c>
      <c r="M3" s="15">
        <v>1</v>
      </c>
      <c r="N3" s="15">
        <v>1</v>
      </c>
      <c r="O3" s="15">
        <v>1</v>
      </c>
      <c r="P3" s="15">
        <v>1</v>
      </c>
      <c r="Q3" s="15">
        <v>1</v>
      </c>
      <c r="R3" s="15">
        <v>1</v>
      </c>
      <c r="S3" s="15">
        <v>1</v>
      </c>
      <c r="T3" s="15">
        <v>1</v>
      </c>
      <c r="U3" s="15">
        <v>1</v>
      </c>
      <c r="V3" s="15">
        <v>1</v>
      </c>
    </row>
    <row r="4" spans="1:22" ht="15" thickBot="1" x14ac:dyDescent="0.4">
      <c r="A4" s="9" t="s">
        <v>150</v>
      </c>
      <c r="B4" s="11" t="s">
        <v>59</v>
      </c>
      <c r="C4" s="14"/>
      <c r="D4" s="14"/>
      <c r="E4" s="14"/>
      <c r="F4" s="14"/>
      <c r="G4" s="14"/>
      <c r="H4" s="14"/>
      <c r="I4" s="15">
        <v>1</v>
      </c>
      <c r="J4" s="15">
        <v>1</v>
      </c>
      <c r="K4" s="14"/>
      <c r="L4" s="14"/>
      <c r="M4" s="14"/>
      <c r="N4" s="14"/>
      <c r="O4" s="14"/>
      <c r="P4" s="14"/>
      <c r="Q4" s="14"/>
      <c r="R4" s="14"/>
      <c r="S4" s="14"/>
      <c r="T4" s="14"/>
      <c r="U4" s="14"/>
      <c r="V4" s="14"/>
    </row>
    <row r="5" spans="1:22" ht="15" thickBot="1" x14ac:dyDescent="0.4">
      <c r="A5" s="9" t="s">
        <v>151</v>
      </c>
      <c r="B5" s="11" t="s">
        <v>112</v>
      </c>
      <c r="C5" s="15">
        <v>1</v>
      </c>
      <c r="D5" s="15">
        <v>1</v>
      </c>
      <c r="E5" s="15">
        <v>1</v>
      </c>
      <c r="F5" s="15">
        <v>1</v>
      </c>
      <c r="G5" s="15">
        <v>1</v>
      </c>
      <c r="H5" s="15">
        <v>1</v>
      </c>
      <c r="I5" s="14"/>
      <c r="J5" s="14"/>
      <c r="K5" s="14"/>
      <c r="L5" s="14"/>
      <c r="M5" s="14"/>
      <c r="N5" s="14"/>
      <c r="O5" s="14"/>
      <c r="P5" s="14"/>
      <c r="Q5" s="14"/>
      <c r="R5" s="14"/>
      <c r="S5" s="14"/>
      <c r="T5" s="14"/>
      <c r="U5" s="14"/>
      <c r="V5" s="14"/>
    </row>
  </sheetData>
  <pageMargins left="0.7" right="0.7" top="0.75" bottom="0.75" header="0.3" footer="0.3"/>
  <tableParts count="1">
    <tablePart r:id="rId1"/>
  </tableParts>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7"/>
  <dimension ref="B2:O23"/>
  <sheetViews>
    <sheetView topLeftCell="A22" workbookViewId="0">
      <selection sqref="A1:XFD1048576"/>
    </sheetView>
  </sheetViews>
  <sheetFormatPr defaultRowHeight="34" customHeight="1" x14ac:dyDescent="0.35"/>
  <cols>
    <col min="1" max="1" width="7.6328125" style="6" customWidth="1"/>
    <col min="2" max="2" width="8.7265625" style="6"/>
    <col min="3" max="3" width="11.36328125" style="6" customWidth="1"/>
    <col min="4" max="4" width="27.453125" style="6" customWidth="1"/>
    <col min="5" max="5" width="8.7265625" style="6" customWidth="1"/>
    <col min="6" max="14" width="8.7265625" style="6"/>
    <col min="15" max="15" width="99.54296875" style="6" customWidth="1"/>
    <col min="16" max="16384" width="8.7265625" style="6"/>
  </cols>
  <sheetData>
    <row r="2" spans="2:15" ht="34" customHeight="1" x14ac:dyDescent="0.35">
      <c r="B2" s="6" t="s">
        <v>192</v>
      </c>
    </row>
    <row r="3" spans="2:15" ht="34" customHeight="1" x14ac:dyDescent="0.35">
      <c r="B3" s="159" t="s">
        <v>316</v>
      </c>
      <c r="C3" s="160" t="s">
        <v>113</v>
      </c>
      <c r="D3" s="160"/>
      <c r="E3" s="161" t="s">
        <v>317</v>
      </c>
      <c r="F3" s="161" t="s">
        <v>318</v>
      </c>
      <c r="G3" s="161" t="s">
        <v>319</v>
      </c>
      <c r="H3" s="161" t="s">
        <v>320</v>
      </c>
      <c r="I3" s="161" t="s">
        <v>321</v>
      </c>
      <c r="J3" s="161" t="s">
        <v>322</v>
      </c>
      <c r="K3" s="161" t="s">
        <v>323</v>
      </c>
      <c r="L3" s="161" t="s">
        <v>324</v>
      </c>
      <c r="M3" s="161" t="s">
        <v>325</v>
      </c>
      <c r="N3" s="161" t="s">
        <v>326</v>
      </c>
      <c r="O3" s="160" t="s">
        <v>327</v>
      </c>
    </row>
    <row r="4" spans="2:15" ht="34" customHeight="1" x14ac:dyDescent="0.35">
      <c r="B4" s="161">
        <v>1</v>
      </c>
      <c r="C4" s="162" t="s">
        <v>0</v>
      </c>
      <c r="D4" s="157" t="s">
        <v>195</v>
      </c>
      <c r="E4" s="163"/>
      <c r="F4" s="163"/>
      <c r="G4" s="163"/>
      <c r="H4" s="163"/>
      <c r="I4" s="163"/>
      <c r="J4" s="163"/>
      <c r="K4" s="163"/>
      <c r="L4" s="163"/>
      <c r="M4" s="163"/>
      <c r="N4" s="163"/>
      <c r="O4" s="162" t="s">
        <v>328</v>
      </c>
    </row>
    <row r="5" spans="2:15" ht="34" customHeight="1" x14ac:dyDescent="0.35">
      <c r="B5" s="161">
        <v>2</v>
      </c>
      <c r="C5" s="162" t="s">
        <v>4</v>
      </c>
      <c r="D5" s="157" t="s">
        <v>201</v>
      </c>
      <c r="E5" s="161"/>
      <c r="F5" s="163"/>
      <c r="G5" s="163"/>
      <c r="H5" s="161"/>
      <c r="I5" s="163"/>
      <c r="J5" s="163"/>
      <c r="K5" s="163"/>
      <c r="L5" s="163"/>
      <c r="M5" s="163"/>
      <c r="N5" s="163"/>
      <c r="O5" s="162" t="s">
        <v>329</v>
      </c>
    </row>
    <row r="6" spans="2:15" ht="34" customHeight="1" x14ac:dyDescent="0.35">
      <c r="B6" s="161">
        <v>3</v>
      </c>
      <c r="C6" s="162" t="s">
        <v>14</v>
      </c>
      <c r="D6" s="158" t="s">
        <v>209</v>
      </c>
      <c r="E6" s="163"/>
      <c r="F6" s="161"/>
      <c r="G6" s="161"/>
      <c r="H6" s="161"/>
      <c r="I6" s="161"/>
      <c r="J6" s="163"/>
      <c r="K6" s="161"/>
      <c r="L6" s="161"/>
      <c r="M6" s="161"/>
      <c r="N6" s="161"/>
      <c r="O6" s="162" t="s">
        <v>330</v>
      </c>
    </row>
    <row r="7" spans="2:15" ht="34" customHeight="1" x14ac:dyDescent="0.35">
      <c r="B7" s="161">
        <v>4</v>
      </c>
      <c r="C7" s="162" t="s">
        <v>15</v>
      </c>
      <c r="D7" s="157" t="s">
        <v>197</v>
      </c>
      <c r="E7" s="161"/>
      <c r="F7" s="161"/>
      <c r="G7" s="161"/>
      <c r="H7" s="161"/>
      <c r="I7" s="161"/>
      <c r="J7" s="161"/>
      <c r="K7" s="161"/>
      <c r="L7" s="161"/>
      <c r="M7" s="161"/>
      <c r="N7" s="163"/>
      <c r="O7" s="162" t="s">
        <v>331</v>
      </c>
    </row>
    <row r="8" spans="2:15" ht="34" customHeight="1" x14ac:dyDescent="0.35">
      <c r="B8" s="161">
        <v>5</v>
      </c>
      <c r="C8" s="162" t="s">
        <v>10</v>
      </c>
      <c r="D8" s="157" t="s">
        <v>208</v>
      </c>
      <c r="E8" s="161"/>
      <c r="F8" s="161"/>
      <c r="G8" s="161"/>
      <c r="H8" s="161"/>
      <c r="I8" s="163"/>
      <c r="J8" s="161"/>
      <c r="K8" s="161"/>
      <c r="L8" s="161"/>
      <c r="M8" s="161"/>
      <c r="N8" s="163"/>
      <c r="O8" s="162" t="s">
        <v>332</v>
      </c>
    </row>
    <row r="9" spans="2:15" ht="34" customHeight="1" x14ac:dyDescent="0.35">
      <c r="B9" s="161">
        <v>6</v>
      </c>
      <c r="C9" s="162" t="s">
        <v>11</v>
      </c>
      <c r="D9" s="157" t="s">
        <v>200</v>
      </c>
      <c r="E9" s="163"/>
      <c r="F9" s="161"/>
      <c r="G9" s="161"/>
      <c r="H9" s="161"/>
      <c r="I9" s="163"/>
      <c r="J9" s="161"/>
      <c r="K9" s="161"/>
      <c r="L9" s="163"/>
      <c r="M9" s="161"/>
      <c r="N9" s="161"/>
      <c r="O9" s="162" t="s">
        <v>333</v>
      </c>
    </row>
    <row r="10" spans="2:15" ht="34" customHeight="1" x14ac:dyDescent="0.35">
      <c r="B10" s="161">
        <v>7</v>
      </c>
      <c r="C10" s="162" t="s">
        <v>6</v>
      </c>
      <c r="D10" s="157" t="s">
        <v>205</v>
      </c>
      <c r="E10" s="161"/>
      <c r="F10" s="163"/>
      <c r="G10" s="161"/>
      <c r="H10" s="161"/>
      <c r="I10" s="163"/>
      <c r="J10" s="163"/>
      <c r="K10" s="161"/>
      <c r="L10" s="163"/>
      <c r="M10" s="161"/>
      <c r="N10" s="161"/>
      <c r="O10" s="162" t="s">
        <v>334</v>
      </c>
    </row>
    <row r="11" spans="2:15" ht="34" customHeight="1" x14ac:dyDescent="0.35">
      <c r="B11" s="161">
        <v>8</v>
      </c>
      <c r="C11" s="162" t="s">
        <v>16</v>
      </c>
      <c r="D11" s="157" t="s">
        <v>203</v>
      </c>
      <c r="E11" s="161"/>
      <c r="F11" s="161"/>
      <c r="G11" s="161"/>
      <c r="H11" s="161"/>
      <c r="I11" s="161"/>
      <c r="J11" s="161"/>
      <c r="K11" s="161"/>
      <c r="L11" s="161"/>
      <c r="M11" s="161"/>
      <c r="N11" s="163"/>
      <c r="O11" s="162" t="s">
        <v>335</v>
      </c>
    </row>
    <row r="12" spans="2:15" ht="34" customHeight="1" x14ac:dyDescent="0.35">
      <c r="B12" s="161">
        <v>9</v>
      </c>
      <c r="C12" s="162" t="s">
        <v>1</v>
      </c>
      <c r="D12" s="6" t="s">
        <v>348</v>
      </c>
      <c r="E12" s="163"/>
      <c r="F12" s="163"/>
      <c r="G12" s="163"/>
      <c r="H12" s="163"/>
      <c r="I12" s="163"/>
      <c r="J12" s="163"/>
      <c r="K12" s="163"/>
      <c r="L12" s="163"/>
      <c r="M12" s="163"/>
      <c r="N12" s="163"/>
      <c r="O12" s="162" t="s">
        <v>336</v>
      </c>
    </row>
    <row r="13" spans="2:15" ht="34" customHeight="1" x14ac:dyDescent="0.35">
      <c r="B13" s="161">
        <v>10</v>
      </c>
      <c r="C13" s="162" t="s">
        <v>17</v>
      </c>
      <c r="D13" s="157" t="s">
        <v>210</v>
      </c>
      <c r="E13" s="161"/>
      <c r="F13" s="161"/>
      <c r="G13" s="161"/>
      <c r="H13" s="161"/>
      <c r="I13" s="161"/>
      <c r="J13" s="161"/>
      <c r="K13" s="161"/>
      <c r="L13" s="161"/>
      <c r="M13" s="161"/>
      <c r="N13" s="163"/>
      <c r="O13" s="162" t="s">
        <v>337</v>
      </c>
    </row>
    <row r="14" spans="2:15" ht="34" customHeight="1" x14ac:dyDescent="0.35">
      <c r="B14" s="161">
        <v>11</v>
      </c>
      <c r="C14" s="162" t="s">
        <v>12</v>
      </c>
      <c r="D14" s="158" t="s">
        <v>202</v>
      </c>
      <c r="E14" s="161"/>
      <c r="F14" s="161"/>
      <c r="G14" s="163"/>
      <c r="H14" s="163"/>
      <c r="I14" s="163"/>
      <c r="J14" s="161"/>
      <c r="K14" s="161"/>
      <c r="L14" s="161"/>
      <c r="M14" s="161"/>
      <c r="N14" s="161"/>
      <c r="O14" s="162" t="s">
        <v>338</v>
      </c>
    </row>
    <row r="15" spans="2:15" ht="34" customHeight="1" x14ac:dyDescent="0.35">
      <c r="B15" s="161">
        <v>12</v>
      </c>
      <c r="C15" s="162" t="s">
        <v>13</v>
      </c>
      <c r="D15" s="158" t="s">
        <v>194</v>
      </c>
      <c r="E15" s="161"/>
      <c r="F15" s="161"/>
      <c r="G15" s="163"/>
      <c r="H15" s="163"/>
      <c r="I15" s="163"/>
      <c r="J15" s="161"/>
      <c r="K15" s="161"/>
      <c r="L15" s="161"/>
      <c r="M15" s="161"/>
      <c r="N15" s="161"/>
      <c r="O15" s="162" t="s">
        <v>339</v>
      </c>
    </row>
    <row r="16" spans="2:15" ht="34" customHeight="1" x14ac:dyDescent="0.35">
      <c r="B16" s="161">
        <v>13</v>
      </c>
      <c r="C16" s="162" t="s">
        <v>8</v>
      </c>
      <c r="D16" s="158" t="s">
        <v>207</v>
      </c>
      <c r="E16" s="161"/>
      <c r="F16" s="161"/>
      <c r="G16" s="161"/>
      <c r="H16" s="161"/>
      <c r="I16" s="161"/>
      <c r="J16" s="161"/>
      <c r="K16" s="163"/>
      <c r="L16" s="161"/>
      <c r="M16" s="161"/>
      <c r="N16" s="163"/>
      <c r="O16" s="162" t="s">
        <v>340</v>
      </c>
    </row>
    <row r="17" spans="2:15" ht="34" customHeight="1" x14ac:dyDescent="0.35">
      <c r="B17" s="161">
        <v>14</v>
      </c>
      <c r="C17" s="162" t="s">
        <v>7</v>
      </c>
      <c r="D17" s="158" t="s">
        <v>206</v>
      </c>
      <c r="E17" s="161"/>
      <c r="F17" s="161"/>
      <c r="G17" s="161"/>
      <c r="H17" s="161"/>
      <c r="I17" s="163"/>
      <c r="J17" s="161"/>
      <c r="K17" s="163"/>
      <c r="L17" s="161"/>
      <c r="M17" s="161"/>
      <c r="N17" s="163"/>
      <c r="O17" s="162" t="s">
        <v>341</v>
      </c>
    </row>
    <row r="18" spans="2:15" ht="34" customHeight="1" x14ac:dyDescent="0.35">
      <c r="B18" s="161">
        <v>15</v>
      </c>
      <c r="C18" s="162" t="s">
        <v>2</v>
      </c>
      <c r="D18" s="157" t="s">
        <v>196</v>
      </c>
      <c r="E18" s="163"/>
      <c r="F18" s="163"/>
      <c r="G18" s="163"/>
      <c r="H18" s="163"/>
      <c r="I18" s="163"/>
      <c r="J18" s="163"/>
      <c r="K18" s="163"/>
      <c r="L18" s="163"/>
      <c r="M18" s="163"/>
      <c r="N18" s="163"/>
      <c r="O18" s="162" t="s">
        <v>342</v>
      </c>
    </row>
    <row r="19" spans="2:15" ht="34" customHeight="1" x14ac:dyDescent="0.35">
      <c r="B19" s="161">
        <v>16</v>
      </c>
      <c r="C19" s="162" t="s">
        <v>18</v>
      </c>
      <c r="D19" s="158" t="s">
        <v>204</v>
      </c>
      <c r="E19" s="163"/>
      <c r="F19" s="161"/>
      <c r="G19" s="161"/>
      <c r="H19" s="161"/>
      <c r="I19" s="161"/>
      <c r="J19" s="161"/>
      <c r="K19" s="161"/>
      <c r="L19" s="161"/>
      <c r="M19" s="161"/>
      <c r="N19" s="161"/>
      <c r="O19" s="162" t="s">
        <v>343</v>
      </c>
    </row>
    <row r="20" spans="2:15" ht="34" customHeight="1" x14ac:dyDescent="0.35">
      <c r="B20" s="161">
        <v>17</v>
      </c>
      <c r="C20" s="162" t="s">
        <v>3</v>
      </c>
      <c r="D20" s="157" t="s">
        <v>193</v>
      </c>
      <c r="E20" s="163"/>
      <c r="F20" s="163"/>
      <c r="G20" s="163"/>
      <c r="H20" s="163"/>
      <c r="I20" s="163"/>
      <c r="J20" s="163"/>
      <c r="K20" s="163"/>
      <c r="L20" s="163"/>
      <c r="M20" s="163"/>
      <c r="N20" s="163"/>
      <c r="O20" s="162" t="s">
        <v>344</v>
      </c>
    </row>
    <row r="21" spans="2:15" ht="34" customHeight="1" x14ac:dyDescent="0.35">
      <c r="B21" s="161">
        <v>18</v>
      </c>
      <c r="C21" s="162" t="s">
        <v>5</v>
      </c>
      <c r="D21" s="157" t="s">
        <v>198</v>
      </c>
      <c r="E21" s="163"/>
      <c r="F21" s="163"/>
      <c r="G21" s="161"/>
      <c r="H21" s="161"/>
      <c r="I21" s="163"/>
      <c r="J21" s="163"/>
      <c r="K21" s="163"/>
      <c r="L21" s="163"/>
      <c r="M21" s="161"/>
      <c r="N21" s="163"/>
      <c r="O21" s="162" t="s">
        <v>345</v>
      </c>
    </row>
    <row r="22" spans="2:15" ht="34" customHeight="1" x14ac:dyDescent="0.35">
      <c r="B22" s="161">
        <v>19</v>
      </c>
      <c r="C22" s="162" t="s">
        <v>9</v>
      </c>
      <c r="D22" s="157" t="s">
        <v>199</v>
      </c>
      <c r="E22" s="161"/>
      <c r="F22" s="161"/>
      <c r="G22" s="161"/>
      <c r="H22" s="161"/>
      <c r="I22" s="163"/>
      <c r="J22" s="161"/>
      <c r="K22" s="163"/>
      <c r="L22" s="161"/>
      <c r="M22" s="161"/>
      <c r="N22" s="161"/>
      <c r="O22" s="162" t="s">
        <v>346</v>
      </c>
    </row>
    <row r="23" spans="2:15" ht="34" customHeight="1" x14ac:dyDescent="0.35">
      <c r="B23" s="161">
        <v>20</v>
      </c>
      <c r="C23" s="162" t="s">
        <v>19</v>
      </c>
      <c r="D23" s="157" t="s">
        <v>211</v>
      </c>
      <c r="E23" s="161"/>
      <c r="F23" s="161"/>
      <c r="G23" s="161"/>
      <c r="H23" s="161"/>
      <c r="I23" s="163"/>
      <c r="J23" s="161"/>
      <c r="K23" s="161"/>
      <c r="L23" s="161"/>
      <c r="M23" s="161"/>
      <c r="N23" s="161"/>
      <c r="O23" s="162" t="s">
        <v>347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18</vt:i4>
      </vt:variant>
      <vt:variant>
        <vt:lpstr>Named Ranges</vt:lpstr>
      </vt:variant>
      <vt:variant>
        <vt:i4>14</vt:i4>
      </vt:variant>
    </vt:vector>
  </HeadingPairs>
  <TitlesOfParts>
    <vt:vector size="32" baseType="lpstr">
      <vt:lpstr>Title Page</vt:lpstr>
      <vt:lpstr>Expected Properties</vt:lpstr>
      <vt:lpstr>Index of Suitability (IS)</vt:lpstr>
      <vt:lpstr>A</vt:lpstr>
      <vt:lpstr>B</vt:lpstr>
      <vt:lpstr>C</vt:lpstr>
      <vt:lpstr>D</vt:lpstr>
      <vt:lpstr>E</vt:lpstr>
      <vt:lpstr>F</vt:lpstr>
      <vt:lpstr>G</vt:lpstr>
      <vt:lpstr>H</vt:lpstr>
      <vt:lpstr>I</vt:lpstr>
      <vt:lpstr>J</vt:lpstr>
      <vt:lpstr>K</vt:lpstr>
      <vt:lpstr>L</vt:lpstr>
      <vt:lpstr>M</vt:lpstr>
      <vt:lpstr>N</vt:lpstr>
      <vt:lpstr>References</vt:lpstr>
      <vt:lpstr>Decision_problem_solution</vt:lpstr>
      <vt:lpstr>Degree_of_method_usage</vt:lpstr>
      <vt:lpstr>Easy_of_use</vt:lpstr>
      <vt:lpstr>Implementation_procedure</vt:lpstr>
      <vt:lpstr>Nature_of_indicator</vt:lpstr>
      <vt:lpstr>Number_decision_maker</vt:lpstr>
      <vt:lpstr>Output_typology</vt:lpstr>
      <vt:lpstr>Size_of_evaluation_elements</vt:lpstr>
      <vt:lpstr>Software_support</vt:lpstr>
      <vt:lpstr>Solution_Approach</vt:lpstr>
      <vt:lpstr>Structure_of_criteria</vt:lpstr>
      <vt:lpstr>Technical_support</vt:lpstr>
      <vt:lpstr>Type_of_decision_making_problem</vt:lpstr>
      <vt:lpstr>Type_of_solution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user</cp:lastModifiedBy>
  <cp:lastPrinted>2025-07-16T09:10:14Z</cp:lastPrinted>
  <dcterms:created xsi:type="dcterms:W3CDTF">2025-04-25T17:09:41Z</dcterms:created>
  <dcterms:modified xsi:type="dcterms:W3CDTF">2025-08-11T21:09:01Z</dcterms:modified>
</cp:coreProperties>
</file>